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F:\Fundo Partidário 2019\republicaçao 2019\"/>
    </mc:Choice>
  </mc:AlternateContent>
  <xr:revisionPtr revIDLastSave="0" documentId="13_ncr:1_{A23AB7B3-CE82-436B-9159-8D9C5494980A}" xr6:coauthVersionLast="45" xr6:coauthVersionMax="45" xr10:uidLastSave="{00000000-0000-0000-0000-000000000000}"/>
  <bookViews>
    <workbookView xWindow="-120" yWindow="-120" windowWidth="20730" windowHeight="11160" tabRatio="613" xr2:uid="{00000000-000D-0000-FFFF-FFFF00000000}"/>
  </bookViews>
  <sheets>
    <sheet name="2019" sheetId="6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8" i="65" l="1"/>
  <c r="L27" i="65"/>
  <c r="L26" i="65"/>
  <c r="L25" i="65"/>
  <c r="L24" i="65"/>
  <c r="L23" i="65"/>
  <c r="L22" i="65"/>
  <c r="L21" i="65"/>
  <c r="L20" i="65"/>
  <c r="L19" i="65"/>
  <c r="L18" i="65"/>
  <c r="L17" i="65"/>
  <c r="L16" i="65"/>
  <c r="L15" i="65"/>
  <c r="L14" i="65"/>
  <c r="L13" i="65"/>
  <c r="L12" i="65"/>
  <c r="L10" i="65"/>
  <c r="L9" i="65"/>
  <c r="L8" i="65"/>
  <c r="L7" i="65"/>
  <c r="L6" i="65"/>
  <c r="I13" i="65"/>
  <c r="I28" i="65"/>
  <c r="I27" i="65"/>
  <c r="I26" i="65"/>
  <c r="I25" i="65"/>
  <c r="I24" i="65"/>
  <c r="I23" i="65"/>
  <c r="I22" i="65"/>
  <c r="I21" i="65"/>
  <c r="I20" i="65"/>
  <c r="I19" i="65"/>
  <c r="I18" i="65"/>
  <c r="I17" i="65"/>
  <c r="I16" i="65"/>
  <c r="I15" i="65"/>
  <c r="I14" i="65"/>
  <c r="I12" i="65"/>
  <c r="I10" i="65"/>
  <c r="I9" i="65"/>
  <c r="I8" i="65"/>
  <c r="I7" i="65"/>
  <c r="I6" i="65"/>
  <c r="H6" i="65" s="1"/>
  <c r="AL13" i="65"/>
  <c r="AG28" i="65" l="1"/>
  <c r="AG27" i="65"/>
  <c r="AG26" i="65"/>
  <c r="AG25" i="65"/>
  <c r="AG24" i="65"/>
  <c r="AG23" i="65"/>
  <c r="AG22" i="65"/>
  <c r="AG21" i="65"/>
  <c r="AG20" i="65"/>
  <c r="AG19" i="65"/>
  <c r="AG18" i="65"/>
  <c r="AG17" i="65"/>
  <c r="AG16" i="65"/>
  <c r="AG15" i="65"/>
  <c r="AG14" i="65"/>
  <c r="AG13" i="65"/>
  <c r="AG12" i="65"/>
  <c r="AG11" i="65"/>
  <c r="AG10" i="65"/>
  <c r="AG9" i="65"/>
  <c r="AG8" i="65"/>
  <c r="AG7" i="65"/>
  <c r="AG6" i="65"/>
  <c r="AD28" i="65"/>
  <c r="AD27" i="65"/>
  <c r="AD26" i="65"/>
  <c r="AD25" i="65"/>
  <c r="AD24" i="65"/>
  <c r="AD23" i="65"/>
  <c r="AD22" i="65"/>
  <c r="AD21" i="65"/>
  <c r="AD20" i="65"/>
  <c r="AD19" i="65"/>
  <c r="AD18" i="65"/>
  <c r="AD17" i="65"/>
  <c r="AD16" i="65"/>
  <c r="AD15" i="65"/>
  <c r="AD14" i="65"/>
  <c r="AD13" i="65"/>
  <c r="AD12" i="65"/>
  <c r="AD11" i="65"/>
  <c r="AD10" i="65"/>
  <c r="AD9" i="65"/>
  <c r="AD8" i="65"/>
  <c r="AD7" i="65"/>
  <c r="AD6" i="65"/>
  <c r="X28" i="65"/>
  <c r="X27" i="65"/>
  <c r="X26" i="65"/>
  <c r="X25" i="65"/>
  <c r="X24" i="65"/>
  <c r="X23" i="65"/>
  <c r="X22" i="65"/>
  <c r="X21" i="65"/>
  <c r="X20" i="65"/>
  <c r="X19" i="65"/>
  <c r="X18" i="65"/>
  <c r="X17" i="65"/>
  <c r="X16" i="65"/>
  <c r="X15" i="65"/>
  <c r="X14" i="65"/>
  <c r="X13" i="65"/>
  <c r="X12" i="65"/>
  <c r="X11" i="65"/>
  <c r="X10" i="65"/>
  <c r="X9" i="65"/>
  <c r="X8" i="65"/>
  <c r="X7" i="65"/>
  <c r="X6" i="65"/>
  <c r="AA28" i="65"/>
  <c r="AA27" i="65"/>
  <c r="AA26" i="65"/>
  <c r="AA25" i="65"/>
  <c r="AA24" i="65"/>
  <c r="AA23" i="65"/>
  <c r="AA22" i="65"/>
  <c r="AA21" i="65"/>
  <c r="AA20" i="65"/>
  <c r="AA19" i="65"/>
  <c r="AA18" i="65"/>
  <c r="AA17" i="65"/>
  <c r="AA16" i="65"/>
  <c r="AA15" i="65"/>
  <c r="AA14" i="65"/>
  <c r="AA13" i="65"/>
  <c r="AA12" i="65"/>
  <c r="AA11" i="65"/>
  <c r="AA10" i="65"/>
  <c r="AA9" i="65"/>
  <c r="AA8" i="65"/>
  <c r="AA7" i="65"/>
  <c r="AA6" i="65"/>
  <c r="AL28" i="65"/>
  <c r="AL27" i="65"/>
  <c r="AL26" i="65"/>
  <c r="AL25" i="65"/>
  <c r="AL24" i="65"/>
  <c r="AL23" i="65"/>
  <c r="AL22" i="65"/>
  <c r="AL21" i="65"/>
  <c r="AL20" i="65"/>
  <c r="AL19" i="65"/>
  <c r="AL18" i="65"/>
  <c r="AL17" i="65"/>
  <c r="AL16" i="65"/>
  <c r="AL15" i="65"/>
  <c r="AL14" i="65"/>
  <c r="AL12" i="65"/>
  <c r="AL11" i="65"/>
  <c r="AL10" i="65"/>
  <c r="AL9" i="65"/>
  <c r="AL8" i="65"/>
  <c r="AL7" i="65"/>
  <c r="AL6" i="65"/>
  <c r="AK28" i="65"/>
  <c r="AK27" i="65"/>
  <c r="AK26" i="65"/>
  <c r="AK25" i="65"/>
  <c r="AK24" i="65"/>
  <c r="AK23" i="65"/>
  <c r="AK22" i="65"/>
  <c r="AK21" i="65"/>
  <c r="AK20" i="65"/>
  <c r="AK19" i="65"/>
  <c r="AK18" i="65"/>
  <c r="AK17" i="65"/>
  <c r="AK16" i="65"/>
  <c r="AK15" i="65"/>
  <c r="AK14" i="65"/>
  <c r="AK13" i="65"/>
  <c r="AK12" i="65"/>
  <c r="AK11" i="65"/>
  <c r="AK10" i="65"/>
  <c r="AK9" i="65"/>
  <c r="AK8" i="65"/>
  <c r="AK7" i="65"/>
  <c r="AK6" i="65"/>
  <c r="U28" i="65"/>
  <c r="U27" i="65"/>
  <c r="U26" i="65"/>
  <c r="U25" i="65"/>
  <c r="U24" i="65"/>
  <c r="U23" i="65"/>
  <c r="U22" i="65"/>
  <c r="U21" i="65"/>
  <c r="U20" i="65"/>
  <c r="U19" i="65"/>
  <c r="U18" i="65"/>
  <c r="U17" i="65"/>
  <c r="U16" i="65"/>
  <c r="U15" i="65"/>
  <c r="U14" i="65"/>
  <c r="U13" i="65"/>
  <c r="U12" i="65"/>
  <c r="U11" i="65"/>
  <c r="U10" i="65"/>
  <c r="U9" i="65"/>
  <c r="U8" i="65"/>
  <c r="U7" i="65"/>
  <c r="U6" i="65"/>
  <c r="R28" i="65"/>
  <c r="R27" i="65"/>
  <c r="R26" i="65"/>
  <c r="R24" i="65"/>
  <c r="R23" i="65"/>
  <c r="R22" i="65"/>
  <c r="R21" i="65"/>
  <c r="R20" i="65"/>
  <c r="R19" i="65"/>
  <c r="R18" i="65"/>
  <c r="R17" i="65"/>
  <c r="R16" i="65"/>
  <c r="R15" i="65"/>
  <c r="R14" i="65"/>
  <c r="R13" i="65"/>
  <c r="R12" i="65"/>
  <c r="R11" i="65"/>
  <c r="R10" i="65"/>
  <c r="R9" i="65"/>
  <c r="R8" i="65"/>
  <c r="R7" i="65"/>
  <c r="R6" i="65"/>
  <c r="N28" i="65"/>
  <c r="N27" i="65"/>
  <c r="N26" i="65"/>
  <c r="N24" i="65"/>
  <c r="N23" i="65"/>
  <c r="N22" i="65"/>
  <c r="N21" i="65"/>
  <c r="N20" i="65"/>
  <c r="N19" i="65"/>
  <c r="N18" i="65"/>
  <c r="N17" i="65"/>
  <c r="N16" i="65"/>
  <c r="N15" i="65"/>
  <c r="N14" i="65"/>
  <c r="N13" i="65"/>
  <c r="N12" i="65"/>
  <c r="N11" i="65"/>
  <c r="N10" i="65"/>
  <c r="N9" i="65"/>
  <c r="N8" i="65"/>
  <c r="N7" i="65"/>
  <c r="N6" i="65"/>
  <c r="K28" i="65"/>
  <c r="K27" i="65"/>
  <c r="K26" i="65"/>
  <c r="K25" i="65"/>
  <c r="K24" i="65"/>
  <c r="K23" i="65"/>
  <c r="K22" i="65"/>
  <c r="K21" i="65"/>
  <c r="K20" i="65"/>
  <c r="K19" i="65"/>
  <c r="K18" i="65"/>
  <c r="K17" i="65"/>
  <c r="K16" i="65"/>
  <c r="K15" i="65"/>
  <c r="AJ15" i="65" s="1"/>
  <c r="K14" i="65"/>
  <c r="K13" i="65"/>
  <c r="K12" i="65"/>
  <c r="K11" i="65"/>
  <c r="AJ11" i="65" s="1"/>
  <c r="K10" i="65"/>
  <c r="K9" i="65"/>
  <c r="K8" i="65"/>
  <c r="K7" i="65"/>
  <c r="AJ7" i="65" s="1"/>
  <c r="AJ6" i="65"/>
  <c r="H13" i="65"/>
  <c r="H28" i="65"/>
  <c r="AJ28" i="65" s="1"/>
  <c r="H27" i="65"/>
  <c r="AJ27" i="65" s="1"/>
  <c r="H26" i="65"/>
  <c r="H25" i="65"/>
  <c r="H24" i="65"/>
  <c r="H23" i="65"/>
  <c r="AJ23" i="65" s="1"/>
  <c r="H22" i="65"/>
  <c r="H21" i="65"/>
  <c r="H20" i="65"/>
  <c r="AJ20" i="65" s="1"/>
  <c r="H19" i="65"/>
  <c r="AJ19" i="65" s="1"/>
  <c r="H18" i="65"/>
  <c r="H17" i="65"/>
  <c r="H16" i="65"/>
  <c r="AJ16" i="65" s="1"/>
  <c r="H15" i="65"/>
  <c r="H14" i="65"/>
  <c r="H12" i="65"/>
  <c r="AJ12" i="65" s="1"/>
  <c r="H11" i="65"/>
  <c r="H10" i="65"/>
  <c r="H9" i="65"/>
  <c r="H8" i="65"/>
  <c r="H7" i="65"/>
  <c r="C13" i="65"/>
  <c r="B13" i="65" s="1"/>
  <c r="AJ24" i="65" l="1"/>
  <c r="AJ8" i="65"/>
  <c r="AJ26" i="65"/>
  <c r="AJ22" i="65"/>
  <c r="AJ18" i="65"/>
  <c r="AJ14" i="65"/>
  <c r="AJ10" i="65"/>
  <c r="AJ9" i="65"/>
  <c r="AJ13" i="65"/>
  <c r="AJ17" i="65"/>
  <c r="AJ21" i="65"/>
  <c r="AJ25" i="65"/>
  <c r="E28" i="65"/>
  <c r="E27" i="65"/>
  <c r="E26" i="65"/>
  <c r="E25" i="65"/>
  <c r="E24" i="65"/>
  <c r="E23" i="65"/>
  <c r="E22" i="65"/>
  <c r="E21" i="65"/>
  <c r="E20" i="65"/>
  <c r="E19" i="65"/>
  <c r="E18" i="65"/>
  <c r="E17" i="65"/>
  <c r="E16" i="65"/>
  <c r="E15" i="65"/>
  <c r="E14" i="65"/>
  <c r="E12" i="65"/>
  <c r="E11" i="65"/>
  <c r="E10" i="65"/>
  <c r="E9" i="65"/>
  <c r="E8" i="65"/>
  <c r="E7" i="65"/>
  <c r="E6" i="65"/>
  <c r="F13" i="65"/>
  <c r="E13" i="65" s="1"/>
  <c r="B28" i="65"/>
  <c r="B27" i="65"/>
  <c r="B26" i="65"/>
  <c r="B25" i="65"/>
  <c r="B24" i="65"/>
  <c r="B23" i="65"/>
  <c r="B22" i="65"/>
  <c r="B21" i="65"/>
  <c r="B20" i="65"/>
  <c r="B19" i="65"/>
  <c r="B18" i="65"/>
  <c r="B17" i="65"/>
  <c r="B16" i="65"/>
  <c r="B15" i="65"/>
  <c r="B14" i="65"/>
  <c r="B12" i="65"/>
  <c r="B11" i="65"/>
  <c r="B10" i="65"/>
  <c r="B9" i="65"/>
  <c r="B8" i="65"/>
  <c r="B7" i="65"/>
  <c r="B6" i="65"/>
  <c r="AH29" i="65" l="1"/>
  <c r="AI25" i="65"/>
  <c r="AI29" i="65" s="1"/>
  <c r="AG29" i="65"/>
  <c r="AF25" i="65"/>
  <c r="AF29" i="65" s="1"/>
  <c r="AE29" i="65"/>
  <c r="AD29" i="65"/>
  <c r="AB29" i="65"/>
  <c r="AC25" i="65"/>
  <c r="AC29" i="65" s="1"/>
  <c r="AA29" i="65"/>
  <c r="Z29" i="65"/>
  <c r="Y29" i="65"/>
  <c r="X29" i="65"/>
  <c r="W29" i="65"/>
  <c r="V29" i="65"/>
  <c r="U29" i="65"/>
  <c r="S29" i="65"/>
  <c r="T25" i="65"/>
  <c r="O29" i="65"/>
  <c r="P25" i="65"/>
  <c r="B29" i="65"/>
  <c r="M29" i="65"/>
  <c r="D29" i="65"/>
  <c r="C29" i="65"/>
  <c r="Q10" i="65"/>
  <c r="J29" i="65"/>
  <c r="G29" i="65"/>
  <c r="F29" i="65"/>
  <c r="E29" i="65"/>
  <c r="Q1" i="65"/>
  <c r="Q2" i="65"/>
  <c r="T29" i="65" l="1"/>
  <c r="R25" i="65"/>
  <c r="P29" i="65"/>
  <c r="N25" i="65"/>
  <c r="AL29" i="65"/>
  <c r="R29" i="65" l="1"/>
  <c r="N29" i="65"/>
  <c r="H29" i="65"/>
  <c r="I29" i="65"/>
  <c r="AJ29" i="65"/>
  <c r="K29" i="65"/>
  <c r="AK29" i="65"/>
  <c r="L29" i="65"/>
</calcChain>
</file>

<file path=xl/sharedStrings.xml><?xml version="1.0" encoding="utf-8"?>
<sst xmlns="http://schemas.openxmlformats.org/spreadsheetml/2006/main" count="124" uniqueCount="45">
  <si>
    <t>PSDB</t>
  </si>
  <si>
    <t>PT</t>
  </si>
  <si>
    <t>PDT</t>
  </si>
  <si>
    <t>PTB</t>
  </si>
  <si>
    <t>PSB</t>
  </si>
  <si>
    <t>PPS</t>
  </si>
  <si>
    <t>PP</t>
  </si>
  <si>
    <t>PSOL</t>
  </si>
  <si>
    <t>PV</t>
  </si>
  <si>
    <t>DEM</t>
  </si>
  <si>
    <t>PSL</t>
  </si>
  <si>
    <t>PRB</t>
  </si>
  <si>
    <t>* Valores em R$ 1,00</t>
  </si>
  <si>
    <t>Partido</t>
  </si>
  <si>
    <t>PR</t>
  </si>
  <si>
    <t>PSC</t>
  </si>
  <si>
    <t>PSD</t>
  </si>
  <si>
    <t>PROS</t>
  </si>
  <si>
    <t>NOVO</t>
  </si>
  <si>
    <t>AVANTE</t>
  </si>
  <si>
    <t>PODE</t>
  </si>
  <si>
    <t>GRU</t>
  </si>
  <si>
    <t>MDB</t>
  </si>
  <si>
    <t xml:space="preserve"> </t>
  </si>
  <si>
    <t>Dotação</t>
  </si>
  <si>
    <t>Março</t>
  </si>
  <si>
    <t>Fevereiro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</si>
  <si>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</si>
  <si>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</si>
  <si>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</si>
  <si>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</si>
  <si>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</si>
  <si>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</si>
  <si>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</si>
  <si>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</si>
  <si>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</si>
  <si>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Total Geral</t>
  </si>
  <si>
    <t>Distribuído</t>
  </si>
  <si>
    <t>SOLIDARIEDADE</t>
  </si>
  <si>
    <t>Dotação Orçamentária</t>
  </si>
  <si>
    <t xml:space="preserve"> Distribuição do Fundo Partidário 2019 </t>
  </si>
  <si>
    <t>PATRI</t>
  </si>
  <si>
    <t>PC do B</t>
  </si>
  <si>
    <t/>
  </si>
  <si>
    <t xml:space="preserve"> Data da última atualização:  02/04/2020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</si>
</sst>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</numFmts>
  <fonts count="2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Verdana"/>
      <family val="2"/>
    </font>
    <font>
      <sz val="8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b/>
      <sz val="8"/>
      <color indexed="10"/>
      <name val="Verdana"/>
      <family val="2"/>
    </font>
    <font>
      <b/>
      <sz val="8"/>
      <color indexed="12"/>
      <name val="Verdana"/>
      <family val="2"/>
    </font>
    <font>
      <b/>
      <sz val="9"/>
      <name val="Verdana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</font>
    <font>
      <sz val="12"/>
      <color rgb="FF000000"/>
      <name val="Cambria"/>
      <family val="1"/>
    </font>
    <font>
      <sz val="12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4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15">
    <xf numFmtId="0" fontId="0" fillId="0" borderId="0" xfId="0"/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2" fontId="7" fillId="0" borderId="0" xfId="0" applyNumberFormat="1" applyFont="1" applyFill="1" applyBorder="1" applyAlignment="1">
      <alignment horizontal="right"/>
    </xf>
    <xf numFmtId="43" fontId="5" fillId="0" borderId="0" xfId="0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165" fontId="6" fillId="0" borderId="0" xfId="7" applyFont="1" applyFill="1" applyBorder="1" applyAlignment="1">
      <alignment horizontal="left" vertical="center"/>
    </xf>
    <xf numFmtId="165" fontId="7" fillId="0" borderId="0" xfId="7" applyFont="1" applyFill="1" applyBorder="1" applyAlignment="1">
      <alignment horizontal="right"/>
    </xf>
    <xf numFmtId="165" fontId="5" fillId="0" borderId="0" xfId="7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left" vertical="center" wrapText="1"/>
    </xf>
    <xf numFmtId="165" fontId="6" fillId="0" borderId="0" xfId="7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left" vertical="top"/>
    </xf>
    <xf numFmtId="165" fontId="7" fillId="0" borderId="1" xfId="7" applyFont="1" applyFill="1" applyBorder="1" applyAlignment="1">
      <alignment horizontal="right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65" fontId="10" fillId="0" borderId="2" xfId="7" applyFont="1" applyFill="1" applyBorder="1" applyAlignment="1">
      <alignment vertical="center" wrapText="1"/>
    </xf>
    <xf numFmtId="2" fontId="2" fillId="3" borderId="4" xfId="0" applyNumberFormat="1" applyFont="1" applyFill="1" applyBorder="1" applyAlignment="1">
      <alignment horizontal="right" vertical="center"/>
    </xf>
    <xf numFmtId="165" fontId="2" fillId="0" borderId="4" xfId="7" applyFont="1" applyFill="1" applyBorder="1" applyAlignment="1">
      <alignment vertical="center" wrapText="1"/>
    </xf>
    <xf numFmtId="165" fontId="2" fillId="0" borderId="4" xfId="7" applyFont="1" applyFill="1" applyBorder="1" applyAlignment="1">
      <alignment vertical="center"/>
    </xf>
    <xf numFmtId="165" fontId="11" fillId="0" borderId="3" xfId="7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165" fontId="5" fillId="0" borderId="0" xfId="0" applyNumberFormat="1" applyFont="1" applyFill="1" applyBorder="1" applyAlignment="1">
      <alignment horizontal="right"/>
    </xf>
    <xf numFmtId="43" fontId="5" fillId="0" borderId="0" xfId="0" applyNumberFormat="1" applyFont="1" applyFill="1" applyBorder="1" applyAlignment="1">
      <alignment horizontal="right"/>
    </xf>
    <xf numFmtId="2" fontId="11" fillId="3" borderId="4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/>
    </xf>
    <xf numFmtId="164" fontId="2" fillId="0" borderId="0" xfId="1" applyFont="1" applyFill="1" applyBorder="1" applyAlignment="1">
      <alignment horizontal="left"/>
    </xf>
    <xf numFmtId="164" fontId="2" fillId="0" borderId="0" xfId="1" applyFont="1" applyFill="1" applyBorder="1" applyAlignment="1">
      <alignment horizontal="right"/>
    </xf>
    <xf numFmtId="4" fontId="13" fillId="0" borderId="0" xfId="0" applyNumberFormat="1" applyFont="1"/>
    <xf numFmtId="165" fontId="13" fillId="0" borderId="0" xfId="7" applyFont="1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165" fontId="2" fillId="0" borderId="0" xfId="7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164" fontId="12" fillId="0" borderId="2" xfId="1" applyFont="1" applyFill="1" applyBorder="1" applyAlignment="1">
      <alignment vertical="center" wrapText="1"/>
    </xf>
    <xf numFmtId="164" fontId="5" fillId="0" borderId="0" xfId="1" applyFont="1" applyFill="1" applyBorder="1" applyAlignment="1">
      <alignment horizontal="right"/>
    </xf>
    <xf numFmtId="43" fontId="15" fillId="0" borderId="3" xfId="0" applyNumberFormat="1" applyFont="1" applyFill="1" applyBorder="1" applyAlignment="1">
      <alignment horizontal="left" vertical="top" wrapText="1"/>
    </xf>
    <xf numFmtId="165" fontId="5" fillId="0" borderId="0" xfId="0" applyNumberFormat="1" applyFont="1" applyFill="1" applyBorder="1" applyAlignment="1">
      <alignment vertical="center" wrapText="1"/>
    </xf>
    <xf numFmtId="164" fontId="11" fillId="0" borderId="2" xfId="1" applyFont="1" applyFill="1" applyBorder="1" applyAlignment="1">
      <alignment vertical="center" wrapText="1"/>
    </xf>
    <xf numFmtId="165" fontId="2" fillId="5" borderId="4" xfId="7" applyFont="1" applyFill="1" applyBorder="1" applyAlignment="1">
      <alignment vertical="center" wrapText="1"/>
    </xf>
    <xf numFmtId="165" fontId="3" fillId="0" borderId="0" xfId="0" applyNumberFormat="1" applyFont="1" applyFill="1" applyBorder="1" applyAlignment="1">
      <alignment horizontal="right"/>
    </xf>
    <xf numFmtId="165" fontId="5" fillId="0" borderId="0" xfId="7" applyFont="1" applyFill="1" applyBorder="1" applyAlignment="1">
      <alignment horizontal="left"/>
    </xf>
    <xf numFmtId="165" fontId="2" fillId="0" borderId="0" xfId="7" applyFont="1" applyFill="1" applyBorder="1" applyAlignment="1">
      <alignment horizontal="left"/>
    </xf>
    <xf numFmtId="4" fontId="0" fillId="0" borderId="0" xfId="0" applyNumberFormat="1"/>
    <xf numFmtId="4" fontId="2" fillId="0" borderId="0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165" fontId="2" fillId="0" borderId="3" xfId="14" applyFont="1" applyFill="1" applyBorder="1" applyAlignment="1" applyProtection="1">
      <alignment horizontal="right" vertical="center"/>
    </xf>
    <xf numFmtId="165" fontId="2" fillId="0" borderId="8" xfId="7" applyFont="1" applyFill="1" applyBorder="1" applyAlignment="1">
      <alignment vertical="center"/>
    </xf>
    <xf numFmtId="165" fontId="2" fillId="0" borderId="3" xfId="7" applyFont="1" applyFill="1" applyBorder="1" applyAlignment="1" applyProtection="1">
      <alignment horizontal="right" vertical="center"/>
    </xf>
    <xf numFmtId="43" fontId="5" fillId="0" borderId="0" xfId="0" applyNumberFormat="1" applyFont="1" applyFill="1" applyBorder="1" applyAlignment="1">
      <alignment horizontal="left" vertical="center" wrapText="1"/>
    </xf>
    <xf numFmtId="0" fontId="5" fillId="0" borderId="0" xfId="0" quotePrefix="1" applyFont="1" applyFill="1" applyBorder="1" applyAlignment="1">
      <alignment horizontal="right"/>
    </xf>
    <xf numFmtId="164" fontId="18" fillId="0" borderId="0" xfId="1" applyFont="1"/>
    <xf numFmtId="165" fontId="12" fillId="4" borderId="3" xfId="7" applyFont="1" applyFill="1" applyBorder="1" applyAlignment="1">
      <alignment horizontal="right"/>
    </xf>
    <xf numFmtId="2" fontId="12" fillId="4" borderId="5" xfId="0" applyNumberFormat="1" applyFont="1" applyFill="1" applyBorder="1"/>
    <xf numFmtId="165" fontId="12" fillId="4" borderId="3" xfId="7" applyFont="1" applyFill="1" applyBorder="1" applyAlignment="1">
      <alignment vertical="center" wrapText="1"/>
    </xf>
    <xf numFmtId="43" fontId="16" fillId="4" borderId="3" xfId="0" applyNumberFormat="1" applyFont="1" applyFill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165" fontId="2" fillId="5" borderId="4" xfId="7" applyFont="1" applyFill="1" applyBorder="1" applyAlignment="1">
      <alignment vertical="center"/>
    </xf>
    <xf numFmtId="165" fontId="2" fillId="5" borderId="3" xfId="14" applyFont="1" applyFill="1" applyBorder="1" applyAlignment="1" applyProtection="1">
      <alignment horizontal="right" vertical="center"/>
    </xf>
    <xf numFmtId="165" fontId="2" fillId="5" borderId="8" xfId="7" applyFont="1" applyFill="1" applyBorder="1" applyAlignment="1">
      <alignment vertical="center"/>
    </xf>
    <xf numFmtId="0" fontId="1" fillId="0" borderId="0" xfId="0" applyFont="1" applyFill="1" applyBorder="1" applyAlignment="1">
      <alignment horizontal="left"/>
    </xf>
    <xf numFmtId="164" fontId="4" fillId="0" borderId="0" xfId="1" applyFont="1" applyFill="1" applyBorder="1" applyAlignment="1">
      <alignment horizontal="left"/>
    </xf>
    <xf numFmtId="164" fontId="1" fillId="0" borderId="0" xfId="1" applyFont="1" applyFill="1" applyBorder="1" applyAlignment="1">
      <alignment horizontal="left"/>
    </xf>
    <xf numFmtId="165" fontId="5" fillId="0" borderId="0" xfId="0" applyNumberFormat="1" applyFont="1" applyFill="1" applyBorder="1" applyAlignment="1">
      <alignment horizontal="left"/>
    </xf>
    <xf numFmtId="43" fontId="2" fillId="0" borderId="0" xfId="0" applyNumberFormat="1" applyFont="1" applyFill="1" applyBorder="1" applyAlignment="1">
      <alignment horizontal="left"/>
    </xf>
    <xf numFmtId="165" fontId="19" fillId="0" borderId="0" xfId="7" applyFont="1" applyFill="1" applyBorder="1" applyAlignment="1">
      <alignment horizontal="right"/>
    </xf>
    <xf numFmtId="2" fontId="6" fillId="5" borderId="0" xfId="0" applyNumberFormat="1" applyFont="1" applyFill="1" applyBorder="1" applyAlignment="1">
      <alignment horizontal="left" vertical="center"/>
    </xf>
    <xf numFmtId="2" fontId="6" fillId="5" borderId="0" xfId="0" applyNumberFormat="1" applyFont="1" applyFill="1" applyBorder="1" applyAlignment="1">
      <alignment vertical="center"/>
    </xf>
    <xf numFmtId="0" fontId="5" fillId="5" borderId="0" xfId="0" applyFont="1" applyFill="1" applyBorder="1" applyAlignment="1">
      <alignment wrapText="1"/>
    </xf>
    <xf numFmtId="2" fontId="7" fillId="5" borderId="0" xfId="0" applyNumberFormat="1" applyFont="1" applyFill="1" applyBorder="1" applyAlignment="1">
      <alignment horizontal="right"/>
    </xf>
    <xf numFmtId="165" fontId="7" fillId="5" borderId="0" xfId="7" applyFont="1" applyFill="1" applyBorder="1" applyAlignment="1">
      <alignment horizontal="right"/>
    </xf>
    <xf numFmtId="0" fontId="5" fillId="5" borderId="0" xfId="0" applyFont="1" applyFill="1" applyBorder="1" applyAlignment="1">
      <alignment horizontal="right"/>
    </xf>
    <xf numFmtId="0" fontId="5" fillId="5" borderId="0" xfId="0" applyFont="1" applyFill="1" applyBorder="1" applyAlignment="1">
      <alignment horizontal="left"/>
    </xf>
    <xf numFmtId="165" fontId="15" fillId="0" borderId="3" xfId="7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2" fontId="7" fillId="0" borderId="0" xfId="0" applyNumberFormat="1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164" fontId="12" fillId="0" borderId="2" xfId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65" fontId="6" fillId="0" borderId="2" xfId="7" applyFont="1" applyFill="1" applyBorder="1" applyAlignment="1">
      <alignment horizontal="right" vertical="center" wrapText="1"/>
    </xf>
    <xf numFmtId="164" fontId="6" fillId="0" borderId="0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</cellXfs>
  <cellStyles count="16">
    <cellStyle name="Moeda" xfId="1" builtinId="4"/>
    <cellStyle name="Moeda 2" xfId="2" xr:uid="{00000000-0005-0000-0000-000001000000}"/>
    <cellStyle name="Moeda 2 2" xfId="11" xr:uid="{00000000-0005-0000-0000-000002000000}"/>
    <cellStyle name="Moeda 3" xfId="3" xr:uid="{00000000-0005-0000-0000-000003000000}"/>
    <cellStyle name="Moeda 4" xfId="10" xr:uid="{00000000-0005-0000-0000-000004000000}"/>
    <cellStyle name="Normal" xfId="0" builtinId="0"/>
    <cellStyle name="Normal 2" xfId="4" xr:uid="{00000000-0005-0000-0000-000006000000}"/>
    <cellStyle name="Normal 2 2" xfId="12" xr:uid="{00000000-0005-0000-0000-000007000000}"/>
    <cellStyle name="Porcentagem 2" xfId="5" xr:uid="{00000000-0005-0000-0000-000008000000}"/>
    <cellStyle name="Porcentagem 2 2" xfId="13" xr:uid="{00000000-0005-0000-0000-000009000000}"/>
    <cellStyle name="Porcentagem 3" xfId="6" xr:uid="{00000000-0005-0000-0000-00000A000000}"/>
    <cellStyle name="Separador de milhares 2" xfId="8" xr:uid="{00000000-0005-0000-0000-00000C000000}"/>
    <cellStyle name="Separador de milhares 2 2" xfId="15" xr:uid="{00000000-0005-0000-0000-00000D000000}"/>
    <cellStyle name="Separador de milhares 3" xfId="9" xr:uid="{00000000-0005-0000-0000-00000E000000}"/>
    <cellStyle name="Separador de milhares 4" xfId="14" xr:uid="{00000000-0005-0000-0000-00000F000000}"/>
    <cellStyle name="Vírgula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AN61"/>
  <sheetViews>
    <sheetView tabSelected="1" zoomScale="80" zoomScaleNormal="80" zoomScaleSheetLayoutView="100" zoomScalePage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33" sqref="F33"/>
    </sheetView>
  </sheetViews>
  <sheetFormatPr defaultRowHeight="10.5" x14ac:dyDescent="0.15"/>
  <cols>
    <col min="1" max="1" width="12.85546875" style="2" customWidth="1"/>
    <col min="2" max="2" width="15.140625" style="2" bestFit="1" customWidth="1"/>
    <col min="3" max="3" width="19.28515625" style="2" bestFit="1" customWidth="1"/>
    <col min="4" max="4" width="12.28515625" style="2" bestFit="1" customWidth="1"/>
    <col min="5" max="5" width="15.28515625" style="2" bestFit="1" customWidth="1"/>
    <col min="6" max="6" width="15.140625" style="2" bestFit="1" customWidth="1"/>
    <col min="7" max="7" width="12.28515625" style="2" bestFit="1" customWidth="1"/>
    <col min="8" max="9" width="15.140625" style="2" bestFit="1" customWidth="1"/>
    <col min="10" max="10" width="12.28515625" style="2" bestFit="1" customWidth="1"/>
    <col min="11" max="12" width="15.140625" style="2" bestFit="1" customWidth="1"/>
    <col min="13" max="13" width="12.140625" style="2" customWidth="1"/>
    <col min="14" max="15" width="15.140625" style="2" bestFit="1" customWidth="1"/>
    <col min="16" max="16" width="13.85546875" style="2" customWidth="1"/>
    <col min="17" max="17" width="15.28515625" style="1" customWidth="1"/>
    <col min="18" max="19" width="15.140625" style="2" bestFit="1" customWidth="1"/>
    <col min="20" max="20" width="13.140625" style="2" customWidth="1"/>
    <col min="21" max="21" width="14.5703125" style="2" customWidth="1"/>
    <col min="22" max="22" width="15.140625" style="2" bestFit="1" customWidth="1"/>
    <col min="23" max="23" width="13.85546875" style="2" bestFit="1" customWidth="1"/>
    <col min="24" max="24" width="15.140625" style="2" bestFit="1" customWidth="1"/>
    <col min="25" max="25" width="19.28515625" style="2" bestFit="1" customWidth="1"/>
    <col min="26" max="26" width="14" style="19" customWidth="1"/>
    <col min="27" max="27" width="16" style="2" customWidth="1"/>
    <col min="28" max="28" width="19.42578125" style="2" bestFit="1" customWidth="1"/>
    <col min="29" max="29" width="13.85546875" style="2" bestFit="1" customWidth="1"/>
    <col min="30" max="30" width="14.85546875" style="2" customWidth="1"/>
    <col min="31" max="31" width="15.42578125" style="2" customWidth="1"/>
    <col min="32" max="32" width="13.5703125" style="2" customWidth="1"/>
    <col min="33" max="34" width="15.140625" style="2" bestFit="1" customWidth="1"/>
    <col min="35" max="35" width="13.5703125" style="2" customWidth="1"/>
    <col min="36" max="36" width="22.7109375" style="1" bestFit="1" customWidth="1"/>
    <col min="37" max="37" width="15.85546875" style="1" bestFit="1" customWidth="1"/>
    <col min="38" max="38" width="15.140625" style="1" bestFit="1" customWidth="1"/>
    <col min="39" max="16384" width="9.140625" style="1"/>
  </cols>
  <sheetData>
    <row r="1" spans="1:40" s="7" customFormat="1" ht="12.75" x14ac:dyDescent="0.2">
      <c r="A1" s="50" t="s">
        <v>40</v>
      </c>
      <c r="B1" s="50"/>
      <c r="C1" s="50"/>
      <c r="D1" s="51" t="s">
        <v>23</v>
      </c>
      <c r="E1" s="14" t="s">
        <v>23</v>
      </c>
      <c r="F1" s="14"/>
      <c r="G1" s="17"/>
      <c r="H1" s="17"/>
      <c r="I1" s="17"/>
      <c r="J1" s="14"/>
      <c r="K1" s="14"/>
      <c r="L1" s="14"/>
      <c r="M1" s="6"/>
      <c r="N1" s="6"/>
      <c r="O1" s="6"/>
      <c r="P1" s="6"/>
      <c r="Q1" s="14" t="str">
        <f>A1</f>
        <v xml:space="preserve"> Distribuição do Fundo Partidário 2019 </v>
      </c>
      <c r="R1" s="14"/>
      <c r="S1" s="14"/>
      <c r="T1" s="14"/>
      <c r="U1" s="14"/>
      <c r="V1" s="14"/>
      <c r="W1" s="14"/>
      <c r="X1" s="14"/>
      <c r="Y1" s="14"/>
      <c r="Z1" s="17"/>
      <c r="AA1" s="14"/>
      <c r="AB1" s="14"/>
      <c r="AC1" s="14"/>
      <c r="AD1" s="14"/>
      <c r="AE1" s="14"/>
      <c r="AF1" s="14"/>
      <c r="AG1" s="20"/>
      <c r="AH1" s="20"/>
      <c r="AI1" s="22"/>
      <c r="AJ1" s="6"/>
      <c r="AK1" s="6"/>
      <c r="AL1" s="6"/>
      <c r="AM1" s="6"/>
    </row>
    <row r="2" spans="1:40" s="7" customFormat="1" ht="12.75" x14ac:dyDescent="0.2">
      <c r="A2" s="106" t="s">
        <v>44</v>
      </c>
      <c r="B2" s="106"/>
      <c r="C2" s="106"/>
      <c r="D2" s="106"/>
      <c r="J2" s="14"/>
      <c r="K2" s="14"/>
      <c r="L2" s="14"/>
      <c r="M2" s="6"/>
      <c r="N2" s="6"/>
      <c r="O2" s="6"/>
      <c r="P2" s="6"/>
      <c r="Q2" s="114" t="str">
        <f>A2</f>
        <v xml:space="preserve"> Data da última atualização:  02/04/2020</v>
      </c>
      <c r="R2" s="114"/>
      <c r="S2" s="114"/>
      <c r="T2" s="114"/>
      <c r="U2" s="114"/>
      <c r="V2" s="114"/>
      <c r="W2" s="114"/>
      <c r="X2" s="14"/>
      <c r="Y2" s="14"/>
      <c r="Z2" s="17"/>
      <c r="AA2" s="14"/>
      <c r="AB2" s="14"/>
      <c r="AC2" s="14"/>
      <c r="AD2" s="14"/>
      <c r="AE2" s="14"/>
      <c r="AF2" s="14"/>
      <c r="AG2" s="17"/>
      <c r="AH2" s="17"/>
      <c r="AI2" s="23"/>
      <c r="AJ2" s="6"/>
      <c r="AK2" s="6"/>
      <c r="AL2" s="6"/>
      <c r="AM2" s="6"/>
    </row>
    <row r="3" spans="1:40" s="9" customFormat="1" ht="12.75" customHeight="1" x14ac:dyDescent="0.2">
      <c r="A3" s="105" t="s">
        <v>39</v>
      </c>
      <c r="B3" s="105"/>
      <c r="C3" s="56">
        <v>810050743</v>
      </c>
      <c r="D3" s="52"/>
      <c r="E3" s="113" t="s">
        <v>23</v>
      </c>
      <c r="F3" s="113"/>
      <c r="G3" s="113"/>
      <c r="H3" s="112" t="s">
        <v>23</v>
      </c>
      <c r="I3" s="112"/>
      <c r="J3" s="28"/>
      <c r="K3" s="16"/>
      <c r="L3" s="16"/>
      <c r="M3" s="29" t="s">
        <v>23</v>
      </c>
      <c r="N3" s="29"/>
      <c r="O3" s="29"/>
      <c r="P3" s="29"/>
      <c r="Q3" s="110" t="s">
        <v>23</v>
      </c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21"/>
      <c r="AH3" s="111" t="s">
        <v>23</v>
      </c>
      <c r="AI3" s="111"/>
      <c r="AL3" s="8"/>
      <c r="AM3" s="8"/>
    </row>
    <row r="4" spans="1:40" ht="26.25" customHeight="1" x14ac:dyDescent="0.15">
      <c r="A4" s="103" t="s">
        <v>13</v>
      </c>
      <c r="B4" s="95" t="s">
        <v>26</v>
      </c>
      <c r="C4" s="96"/>
      <c r="D4" s="97"/>
      <c r="E4" s="95" t="s">
        <v>25</v>
      </c>
      <c r="F4" s="96"/>
      <c r="G4" s="97"/>
      <c r="H4" s="95" t="s">
        <v>27</v>
      </c>
      <c r="I4" s="96"/>
      <c r="J4" s="97"/>
      <c r="K4" s="95" t="s">
        <v>28</v>
      </c>
      <c r="L4" s="96"/>
      <c r="M4" s="97"/>
      <c r="N4" s="95" t="s">
        <v>29</v>
      </c>
      <c r="O4" s="96"/>
      <c r="P4" s="97"/>
      <c r="Q4" s="103" t="s">
        <v>13</v>
      </c>
      <c r="R4" s="95" t="s">
        <v>30</v>
      </c>
      <c r="S4" s="96"/>
      <c r="T4" s="97"/>
      <c r="U4" s="95" t="s">
        <v>31</v>
      </c>
      <c r="V4" s="96"/>
      <c r="W4" s="97"/>
      <c r="X4" s="95" t="s">
        <v>32</v>
      </c>
      <c r="Y4" s="96"/>
      <c r="Z4" s="97"/>
      <c r="AA4" s="95" t="s">
        <v>33</v>
      </c>
      <c r="AB4" s="96"/>
      <c r="AC4" s="97"/>
      <c r="AD4" s="95" t="s">
        <v>34</v>
      </c>
      <c r="AE4" s="96"/>
      <c r="AF4" s="97"/>
      <c r="AG4" s="95" t="s">
        <v>35</v>
      </c>
      <c r="AH4" s="96"/>
      <c r="AI4" s="97"/>
      <c r="AJ4" s="107" t="s">
        <v>36</v>
      </c>
      <c r="AK4" s="108"/>
      <c r="AL4" s="109"/>
      <c r="AM4" s="3"/>
    </row>
    <row r="5" spans="1:40" ht="67.5" customHeight="1" x14ac:dyDescent="0.15">
      <c r="A5" s="104"/>
      <c r="B5" s="25" t="s">
        <v>24</v>
      </c>
      <c r="C5" s="34" t="s">
        <v>37</v>
      </c>
      <c r="D5" s="27" t="s">
        <v>21</v>
      </c>
      <c r="E5" s="25" t="s">
        <v>24</v>
      </c>
      <c r="F5" s="34" t="s">
        <v>37</v>
      </c>
      <c r="G5" s="27" t="s">
        <v>21</v>
      </c>
      <c r="H5" s="25" t="s">
        <v>24</v>
      </c>
      <c r="I5" s="34" t="s">
        <v>37</v>
      </c>
      <c r="J5" s="27" t="s">
        <v>21</v>
      </c>
      <c r="K5" s="25" t="s">
        <v>24</v>
      </c>
      <c r="L5" s="34" t="s">
        <v>37</v>
      </c>
      <c r="M5" s="27" t="s">
        <v>21</v>
      </c>
      <c r="N5" s="25" t="s">
        <v>24</v>
      </c>
      <c r="O5" s="34" t="s">
        <v>37</v>
      </c>
      <c r="P5" s="27" t="s">
        <v>21</v>
      </c>
      <c r="Q5" s="104"/>
      <c r="R5" s="25" t="s">
        <v>24</v>
      </c>
      <c r="S5" s="34" t="s">
        <v>37</v>
      </c>
      <c r="T5" s="27" t="s">
        <v>21</v>
      </c>
      <c r="U5" s="25" t="s">
        <v>24</v>
      </c>
      <c r="V5" s="34" t="s">
        <v>37</v>
      </c>
      <c r="W5" s="27" t="s">
        <v>21</v>
      </c>
      <c r="X5" s="25" t="s">
        <v>24</v>
      </c>
      <c r="Y5" s="34" t="s">
        <v>37</v>
      </c>
      <c r="Z5" s="27" t="s">
        <v>21</v>
      </c>
      <c r="AA5" s="25" t="s">
        <v>24</v>
      </c>
      <c r="AB5" s="34" t="s">
        <v>37</v>
      </c>
      <c r="AC5" s="27" t="s">
        <v>21</v>
      </c>
      <c r="AD5" s="25" t="s">
        <v>24</v>
      </c>
      <c r="AE5" s="34" t="s">
        <v>37</v>
      </c>
      <c r="AF5" s="27" t="s">
        <v>21</v>
      </c>
      <c r="AG5" s="25" t="s">
        <v>24</v>
      </c>
      <c r="AH5" s="34" t="s">
        <v>37</v>
      </c>
      <c r="AI5" s="27" t="s">
        <v>21</v>
      </c>
      <c r="AJ5" s="25" t="s">
        <v>24</v>
      </c>
      <c r="AK5" s="34" t="s">
        <v>37</v>
      </c>
      <c r="AL5" s="26" t="s">
        <v>21</v>
      </c>
      <c r="AM5" s="3"/>
    </row>
    <row r="6" spans="1:40" ht="13.9" customHeight="1" x14ac:dyDescent="0.15">
      <c r="A6" s="40" t="s">
        <v>19</v>
      </c>
      <c r="B6" s="57">
        <f>C6+D6</f>
        <v>1421351.4200000004</v>
      </c>
      <c r="C6" s="57">
        <v>1421351.4200000004</v>
      </c>
      <c r="D6" s="57">
        <v>0</v>
      </c>
      <c r="E6" s="57">
        <f>F6+G6</f>
        <v>1421351.4200000004</v>
      </c>
      <c r="F6" s="57">
        <v>1421351.4200000004</v>
      </c>
      <c r="G6" s="57">
        <v>0</v>
      </c>
      <c r="H6" s="57">
        <f>I6+J6</f>
        <v>1412342.77</v>
      </c>
      <c r="I6" s="57">
        <f>1442081.85-29739.08</f>
        <v>1412342.77</v>
      </c>
      <c r="J6" s="57">
        <v>0</v>
      </c>
      <c r="K6" s="57">
        <v>1404667.59</v>
      </c>
      <c r="L6" s="31">
        <f>1404667.59-29739.08</f>
        <v>1374928.51</v>
      </c>
      <c r="M6" s="31">
        <v>0</v>
      </c>
      <c r="N6" s="31">
        <f>O6+P6</f>
        <v>1392717.07</v>
      </c>
      <c r="O6" s="31">
        <v>1392717.07</v>
      </c>
      <c r="P6" s="31">
        <v>0</v>
      </c>
      <c r="Q6" s="30" t="s">
        <v>19</v>
      </c>
      <c r="R6" s="32">
        <f>S6+T6</f>
        <v>1398949.52</v>
      </c>
      <c r="S6" s="32">
        <v>1398949.52</v>
      </c>
      <c r="T6" s="75">
        <v>0</v>
      </c>
      <c r="U6" s="75">
        <f>V6+W6</f>
        <v>1398949.52</v>
      </c>
      <c r="V6" s="75">
        <v>1398949.52</v>
      </c>
      <c r="W6" s="75">
        <v>0</v>
      </c>
      <c r="X6" s="75">
        <f>Y6+Z6</f>
        <v>1398949.52</v>
      </c>
      <c r="Y6" s="75">
        <v>1398949.52</v>
      </c>
      <c r="Z6" s="75">
        <v>0</v>
      </c>
      <c r="AA6" s="76">
        <f>AB6+AC6</f>
        <v>1398949.52</v>
      </c>
      <c r="AB6" s="77">
        <v>1398949.52</v>
      </c>
      <c r="AC6" s="75">
        <v>0</v>
      </c>
      <c r="AD6" s="76">
        <f>AE6+AF6</f>
        <v>1398949.52</v>
      </c>
      <c r="AE6" s="65">
        <v>1398949.52</v>
      </c>
      <c r="AF6" s="32">
        <v>0</v>
      </c>
      <c r="AG6" s="64">
        <f>AH6+AI6</f>
        <v>1398949.52</v>
      </c>
      <c r="AH6" s="64">
        <v>1398949.52</v>
      </c>
      <c r="AI6" s="32">
        <v>0</v>
      </c>
      <c r="AJ6" s="33">
        <f>B6+E6+H6+K6+N6+R6+U6+X6+AA6+AD6+AG6</f>
        <v>15446127.389999999</v>
      </c>
      <c r="AK6" s="91">
        <f>C6+F6+I6+L6+O6+S6+V6+Y6+AB6+AE6+AH6</f>
        <v>15416388.309999999</v>
      </c>
      <c r="AL6" s="54">
        <f>D6+G6+J6+M6+P6+T6+W6+Z6+AC6+AF6+AI6</f>
        <v>0</v>
      </c>
      <c r="AM6" s="3"/>
    </row>
    <row r="7" spans="1:40" ht="13.9" customHeight="1" x14ac:dyDescent="0.15">
      <c r="A7" s="40" t="s">
        <v>9</v>
      </c>
      <c r="B7" s="57">
        <f t="shared" ref="B7:B28" si="0">C7+D7</f>
        <v>3302399.94</v>
      </c>
      <c r="C7" s="57">
        <v>3302399.94</v>
      </c>
      <c r="D7" s="57">
        <v>0</v>
      </c>
      <c r="E7" s="57">
        <f t="shared" ref="E7:E28" si="1">F7+G7</f>
        <v>3302399.94</v>
      </c>
      <c r="F7" s="57">
        <v>3302399.94</v>
      </c>
      <c r="G7" s="57">
        <v>0</v>
      </c>
      <c r="H7" s="57">
        <f t="shared" ref="H7:H28" si="2">I7+J7</f>
        <v>3290163.26</v>
      </c>
      <c r="I7" s="57">
        <f>3353885.13-63721.87</f>
        <v>3290163.26</v>
      </c>
      <c r="J7" s="57">
        <v>0</v>
      </c>
      <c r="K7" s="57">
        <f t="shared" ref="K7:K28" si="3">L7+M7</f>
        <v>3197242.84</v>
      </c>
      <c r="L7" s="31">
        <f>3260964.71-63721.87</f>
        <v>3197242.84</v>
      </c>
      <c r="M7" s="31">
        <v>0</v>
      </c>
      <c r="N7" s="31">
        <f t="shared" ref="N7:N28" si="4">O7+P7</f>
        <v>3241180.86</v>
      </c>
      <c r="O7" s="31">
        <v>3241180.86</v>
      </c>
      <c r="P7" s="31">
        <v>0</v>
      </c>
      <c r="Q7" s="30" t="s">
        <v>9</v>
      </c>
      <c r="R7" s="32">
        <f t="shared" ref="R7:R28" si="5">S7+T7</f>
        <v>3240865.15</v>
      </c>
      <c r="S7" s="32">
        <v>3240865.15</v>
      </c>
      <c r="T7" s="75">
        <v>0</v>
      </c>
      <c r="U7" s="75">
        <f t="shared" ref="U7:U28" si="6">V7+W7</f>
        <v>3240865.1500000004</v>
      </c>
      <c r="V7" s="75">
        <v>2293145.4900000002</v>
      </c>
      <c r="W7" s="75">
        <v>947719.66</v>
      </c>
      <c r="X7" s="75">
        <f t="shared" ref="X7:X28" si="7">Y7+Z7</f>
        <v>3240865.16</v>
      </c>
      <c r="Y7" s="75">
        <v>2293145.5</v>
      </c>
      <c r="Z7" s="75">
        <v>947719.66</v>
      </c>
      <c r="AA7" s="76">
        <f t="shared" ref="AA7:AA28" si="8">AB7+AC7</f>
        <v>3240862.1599999997</v>
      </c>
      <c r="AB7" s="77">
        <v>2293145.4999999995</v>
      </c>
      <c r="AC7" s="75">
        <v>947716.66</v>
      </c>
      <c r="AD7" s="76">
        <f t="shared" ref="AD7:AD28" si="9">AE7+AF7</f>
        <v>3240865.1599999997</v>
      </c>
      <c r="AE7" s="65">
        <v>2293145.4999999995</v>
      </c>
      <c r="AF7" s="32">
        <v>947719.66</v>
      </c>
      <c r="AG7" s="64">
        <f t="shared" ref="AG7:AG28" si="10">AH7+AI7</f>
        <v>3240865.1499999994</v>
      </c>
      <c r="AH7" s="64">
        <v>3240865.1499999994</v>
      </c>
      <c r="AI7" s="32">
        <v>0</v>
      </c>
      <c r="AJ7" s="33">
        <f>B7+E7+H7+K7+N7+R7+U7+X7+AA7+AD7+AG7</f>
        <v>35778574.770000003</v>
      </c>
      <c r="AK7" s="91">
        <f t="shared" ref="AK7:AK28" si="11">C7+F7+I7+L7+O7+S7+V7+Y7+AB7+AE7+AH7</f>
        <v>31987699.129999995</v>
      </c>
      <c r="AL7" s="54">
        <f t="shared" ref="AL7:AL28" si="12">D7+G7+J7+M7+P7+T7+W7+Z7+AC7+AF7+AI7</f>
        <v>3790875.64</v>
      </c>
      <c r="AM7" s="3"/>
    </row>
    <row r="8" spans="1:40" ht="13.9" customHeight="1" x14ac:dyDescent="0.15">
      <c r="A8" s="40" t="s">
        <v>22</v>
      </c>
      <c r="B8" s="57">
        <f t="shared" si="0"/>
        <v>3892170.43</v>
      </c>
      <c r="C8" s="57">
        <v>3892170.43</v>
      </c>
      <c r="D8" s="57">
        <v>0</v>
      </c>
      <c r="E8" s="57">
        <f t="shared" si="1"/>
        <v>3892170.43</v>
      </c>
      <c r="F8" s="57">
        <v>3892170.43</v>
      </c>
      <c r="G8" s="57">
        <v>0</v>
      </c>
      <c r="H8" s="57">
        <f t="shared" si="2"/>
        <v>3878891.24</v>
      </c>
      <c r="I8" s="57">
        <f>3953298.25-74407.01</f>
        <v>3878891.24</v>
      </c>
      <c r="J8" s="57">
        <v>0</v>
      </c>
      <c r="K8" s="57">
        <f t="shared" si="3"/>
        <v>3768567.83</v>
      </c>
      <c r="L8" s="57">
        <f>3842974.84-74407.01</f>
        <v>3768567.83</v>
      </c>
      <c r="M8" s="57">
        <v>0</v>
      </c>
      <c r="N8" s="31">
        <f t="shared" si="4"/>
        <v>3820734.95</v>
      </c>
      <c r="O8" s="31">
        <v>3820734.95</v>
      </c>
      <c r="P8" s="31">
        <v>0</v>
      </c>
      <c r="Q8" s="30" t="s">
        <v>22</v>
      </c>
      <c r="R8" s="32">
        <f t="shared" si="5"/>
        <v>3820360.13</v>
      </c>
      <c r="S8" s="32">
        <v>3820360.13</v>
      </c>
      <c r="T8" s="75">
        <v>0</v>
      </c>
      <c r="U8" s="75">
        <f t="shared" si="6"/>
        <v>3820360.13</v>
      </c>
      <c r="V8" s="75">
        <v>3820360.13</v>
      </c>
      <c r="W8" s="75">
        <v>0</v>
      </c>
      <c r="X8" s="75">
        <f t="shared" si="7"/>
        <v>3820360.13</v>
      </c>
      <c r="Y8" s="75">
        <v>3820360.13</v>
      </c>
      <c r="Z8" s="75">
        <v>0</v>
      </c>
      <c r="AA8" s="76">
        <f t="shared" si="8"/>
        <v>3820360.1299999994</v>
      </c>
      <c r="AB8" s="77">
        <v>3820360.1299999994</v>
      </c>
      <c r="AC8" s="75">
        <v>0</v>
      </c>
      <c r="AD8" s="76">
        <f t="shared" si="9"/>
        <v>3820360.1299999994</v>
      </c>
      <c r="AE8" s="65">
        <v>3820360.1299999994</v>
      </c>
      <c r="AF8" s="32">
        <v>0</v>
      </c>
      <c r="AG8" s="64">
        <f t="shared" si="10"/>
        <v>3820360.1299999994</v>
      </c>
      <c r="AH8" s="64">
        <v>3820360.1299999994</v>
      </c>
      <c r="AI8" s="32">
        <v>0</v>
      </c>
      <c r="AJ8" s="33">
        <f t="shared" ref="AJ8:AJ28" si="13">B8+E8+H8+K8+N8+R8+U8+X8+AA8+AD8+AG8</f>
        <v>42174695.660000004</v>
      </c>
      <c r="AK8" s="91">
        <f t="shared" si="11"/>
        <v>42174695.660000004</v>
      </c>
      <c r="AL8" s="54">
        <f t="shared" si="12"/>
        <v>0</v>
      </c>
    </row>
    <row r="9" spans="1:40" ht="13.9" customHeight="1" x14ac:dyDescent="0.15">
      <c r="A9" s="40" t="s">
        <v>18</v>
      </c>
      <c r="B9" s="57">
        <f t="shared" si="0"/>
        <v>2042381.6800000004</v>
      </c>
      <c r="C9" s="57">
        <v>2042381.6800000004</v>
      </c>
      <c r="D9" s="57">
        <v>0</v>
      </c>
      <c r="E9" s="57">
        <f t="shared" si="1"/>
        <v>2042381.6800000004</v>
      </c>
      <c r="F9" s="57">
        <v>2042381.6800000004</v>
      </c>
      <c r="G9" s="57">
        <v>0</v>
      </c>
      <c r="H9" s="57">
        <f t="shared" si="2"/>
        <v>2032372.28</v>
      </c>
      <c r="I9" s="57">
        <f>2073265.83-40893.55</f>
        <v>2032372.28</v>
      </c>
      <c r="J9" s="57">
        <v>0</v>
      </c>
      <c r="K9" s="57">
        <f t="shared" si="3"/>
        <v>1976629.57</v>
      </c>
      <c r="L9" s="57">
        <f>2017526.12-40896.55</f>
        <v>1976629.57</v>
      </c>
      <c r="M9" s="57">
        <v>0</v>
      </c>
      <c r="N9" s="31">
        <f t="shared" si="4"/>
        <v>2002989.45</v>
      </c>
      <c r="O9" s="31">
        <v>2002989.45</v>
      </c>
      <c r="P9" s="31">
        <v>0</v>
      </c>
      <c r="Q9" s="30" t="s">
        <v>18</v>
      </c>
      <c r="R9" s="32">
        <f t="shared" si="5"/>
        <v>2002800.07</v>
      </c>
      <c r="S9" s="32">
        <v>2002800.07</v>
      </c>
      <c r="T9" s="75">
        <v>0</v>
      </c>
      <c r="U9" s="75">
        <f t="shared" si="6"/>
        <v>2002800.08</v>
      </c>
      <c r="V9" s="75">
        <v>2002800.08</v>
      </c>
      <c r="W9" s="75">
        <v>0</v>
      </c>
      <c r="X9" s="75">
        <f t="shared" si="7"/>
        <v>2002800.08</v>
      </c>
      <c r="Y9" s="75">
        <v>2002800.08</v>
      </c>
      <c r="Z9" s="75">
        <v>0</v>
      </c>
      <c r="AA9" s="76">
        <f t="shared" si="8"/>
        <v>2002800.08</v>
      </c>
      <c r="AB9" s="77">
        <v>2002800.08</v>
      </c>
      <c r="AC9" s="75">
        <v>0</v>
      </c>
      <c r="AD9" s="76">
        <f t="shared" si="9"/>
        <v>2002800.08</v>
      </c>
      <c r="AE9" s="65">
        <v>2002800.08</v>
      </c>
      <c r="AF9" s="32">
        <v>0</v>
      </c>
      <c r="AG9" s="64">
        <f t="shared" si="10"/>
        <v>2002800.08</v>
      </c>
      <c r="AH9" s="64">
        <v>2002800.08</v>
      </c>
      <c r="AI9" s="32">
        <v>0</v>
      </c>
      <c r="AJ9" s="33">
        <f t="shared" si="13"/>
        <v>22113555.129999995</v>
      </c>
      <c r="AK9" s="91">
        <f t="shared" si="11"/>
        <v>22113555.129999995</v>
      </c>
      <c r="AL9" s="54">
        <f t="shared" si="12"/>
        <v>0</v>
      </c>
      <c r="AM9" s="4"/>
    </row>
    <row r="10" spans="1:40" ht="13.9" customHeight="1" x14ac:dyDescent="0.15">
      <c r="A10" s="40" t="s">
        <v>41</v>
      </c>
      <c r="B10" s="57">
        <f t="shared" si="0"/>
        <v>1724579.6</v>
      </c>
      <c r="C10" s="57">
        <v>1724579.6</v>
      </c>
      <c r="D10" s="57">
        <v>0</v>
      </c>
      <c r="E10" s="57">
        <f t="shared" si="1"/>
        <v>1724579.59</v>
      </c>
      <c r="F10" s="57">
        <v>1724579.59</v>
      </c>
      <c r="G10" s="57">
        <v>0</v>
      </c>
      <c r="H10" s="57">
        <f t="shared" si="2"/>
        <v>1714830.1199999999</v>
      </c>
      <c r="I10" s="57">
        <f>1749960.43-35130.31</f>
        <v>1714830.1199999999</v>
      </c>
      <c r="J10" s="57"/>
      <c r="K10" s="57">
        <f t="shared" si="3"/>
        <v>1667872.38</v>
      </c>
      <c r="L10" s="57">
        <f>1703002.69-35130.31</f>
        <v>1667872.38</v>
      </c>
      <c r="M10" s="57"/>
      <c r="N10" s="31">
        <f t="shared" si="4"/>
        <v>1690395.41</v>
      </c>
      <c r="O10" s="31">
        <v>1690395.41</v>
      </c>
      <c r="P10" s="31"/>
      <c r="Q10" s="30" t="str">
        <f>A10</f>
        <v>PATRI</v>
      </c>
      <c r="R10" s="32">
        <f t="shared" si="5"/>
        <v>1690237.92</v>
      </c>
      <c r="S10" s="32">
        <v>1690237.92</v>
      </c>
      <c r="T10" s="75"/>
      <c r="U10" s="75">
        <f t="shared" si="6"/>
        <v>1690237.93</v>
      </c>
      <c r="V10" s="75">
        <v>1690237.93</v>
      </c>
      <c r="W10" s="75">
        <v>0</v>
      </c>
      <c r="X10" s="75">
        <f t="shared" si="7"/>
        <v>1690237.93</v>
      </c>
      <c r="Y10" s="75">
        <v>1690237.93</v>
      </c>
      <c r="Z10" s="75">
        <v>0</v>
      </c>
      <c r="AA10" s="76">
        <f t="shared" si="8"/>
        <v>1690237.9300000002</v>
      </c>
      <c r="AB10" s="77">
        <v>1690237.9300000002</v>
      </c>
      <c r="AC10" s="75">
        <v>0</v>
      </c>
      <c r="AD10" s="76">
        <f t="shared" si="9"/>
        <v>1690237.9300000002</v>
      </c>
      <c r="AE10" s="65">
        <v>1690237.9300000002</v>
      </c>
      <c r="AF10" s="32"/>
      <c r="AG10" s="64">
        <f t="shared" si="10"/>
        <v>1690237.9300000002</v>
      </c>
      <c r="AH10" s="64">
        <v>1690237.9300000002</v>
      </c>
      <c r="AI10" s="32"/>
      <c r="AJ10" s="33">
        <f t="shared" si="13"/>
        <v>18663684.669999998</v>
      </c>
      <c r="AK10" s="91">
        <f t="shared" si="11"/>
        <v>18663684.669999998</v>
      </c>
      <c r="AL10" s="54">
        <f t="shared" si="12"/>
        <v>0</v>
      </c>
      <c r="AM10" s="4"/>
    </row>
    <row r="11" spans="1:40" ht="13.9" customHeight="1" x14ac:dyDescent="0.15">
      <c r="A11" s="40" t="s">
        <v>42</v>
      </c>
      <c r="B11" s="57">
        <f t="shared" si="0"/>
        <v>0</v>
      </c>
      <c r="C11" s="57">
        <v>0</v>
      </c>
      <c r="D11" s="57">
        <v>0</v>
      </c>
      <c r="E11" s="57">
        <f t="shared" si="1"/>
        <v>0</v>
      </c>
      <c r="F11" s="57">
        <v>0</v>
      </c>
      <c r="G11" s="57">
        <v>0</v>
      </c>
      <c r="H11" s="57">
        <f t="shared" si="2"/>
        <v>1307877.1200000001</v>
      </c>
      <c r="I11" s="57">
        <v>1307877.1200000001</v>
      </c>
      <c r="J11" s="57">
        <v>0</v>
      </c>
      <c r="K11" s="57">
        <f t="shared" si="3"/>
        <v>1307877.1200000001</v>
      </c>
      <c r="L11" s="57">
        <v>1307877.1200000001</v>
      </c>
      <c r="M11" s="57">
        <v>0</v>
      </c>
      <c r="N11" s="31">
        <f t="shared" si="4"/>
        <v>1307873.47</v>
      </c>
      <c r="O11" s="31">
        <v>1307873.47</v>
      </c>
      <c r="P11" s="31"/>
      <c r="Q11" s="30" t="s">
        <v>42</v>
      </c>
      <c r="R11" s="32">
        <f t="shared" si="5"/>
        <v>1307755.01</v>
      </c>
      <c r="S11" s="32">
        <v>1307755.01</v>
      </c>
      <c r="T11" s="75"/>
      <c r="U11" s="75">
        <f t="shared" si="6"/>
        <v>1307755.01</v>
      </c>
      <c r="V11" s="75">
        <v>1307755.01</v>
      </c>
      <c r="W11" s="75">
        <v>0</v>
      </c>
      <c r="X11" s="75">
        <f t="shared" si="7"/>
        <v>1307755.01</v>
      </c>
      <c r="Y11" s="75">
        <v>1307755.01</v>
      </c>
      <c r="Z11" s="75">
        <v>0</v>
      </c>
      <c r="AA11" s="76">
        <f t="shared" si="8"/>
        <v>1307755.01</v>
      </c>
      <c r="AB11" s="77">
        <v>1307755.01</v>
      </c>
      <c r="AC11" s="75">
        <v>0</v>
      </c>
      <c r="AD11" s="76">
        <f t="shared" si="9"/>
        <v>1307755.01</v>
      </c>
      <c r="AE11" s="65">
        <v>1307755.01</v>
      </c>
      <c r="AF11" s="32"/>
      <c r="AG11" s="64">
        <f t="shared" si="10"/>
        <v>1307755.01</v>
      </c>
      <c r="AH11" s="64">
        <v>1307755.01</v>
      </c>
      <c r="AI11" s="32"/>
      <c r="AJ11" s="33">
        <f t="shared" si="13"/>
        <v>11770157.77</v>
      </c>
      <c r="AK11" s="91">
        <f t="shared" si="11"/>
        <v>11770157.77</v>
      </c>
      <c r="AL11" s="54">
        <f t="shared" si="12"/>
        <v>0</v>
      </c>
      <c r="AM11" s="4"/>
    </row>
    <row r="12" spans="1:40" ht="13.9" customHeight="1" x14ac:dyDescent="0.15">
      <c r="A12" s="40" t="s">
        <v>2</v>
      </c>
      <c r="B12" s="57">
        <f t="shared" si="0"/>
        <v>3284303.39</v>
      </c>
      <c r="C12" s="57">
        <v>3284303.39</v>
      </c>
      <c r="D12" s="57">
        <v>0</v>
      </c>
      <c r="E12" s="57">
        <f t="shared" si="1"/>
        <v>3284303.39</v>
      </c>
      <c r="F12" s="57">
        <v>3284303.39</v>
      </c>
      <c r="G12" s="57">
        <v>0</v>
      </c>
      <c r="H12" s="57">
        <f t="shared" si="2"/>
        <v>3272098.69</v>
      </c>
      <c r="I12" s="57">
        <f>3335492.71-63394.02</f>
        <v>3272098.69</v>
      </c>
      <c r="J12" s="57">
        <v>0</v>
      </c>
      <c r="K12" s="57">
        <f t="shared" si="3"/>
        <v>3179712.28</v>
      </c>
      <c r="L12" s="57">
        <f>3243106.3-63394.02</f>
        <v>3179712.28</v>
      </c>
      <c r="M12" s="57">
        <v>0</v>
      </c>
      <c r="N12" s="31">
        <f t="shared" si="4"/>
        <v>3223397.79</v>
      </c>
      <c r="O12" s="31">
        <v>3223397.79</v>
      </c>
      <c r="P12" s="31">
        <v>0</v>
      </c>
      <c r="Q12" s="30" t="s">
        <v>2</v>
      </c>
      <c r="R12" s="32">
        <f t="shared" si="5"/>
        <v>3223083.89</v>
      </c>
      <c r="S12" s="32">
        <v>3223083.89</v>
      </c>
      <c r="T12" s="75">
        <v>0</v>
      </c>
      <c r="U12" s="75">
        <f t="shared" si="6"/>
        <v>3223083.89</v>
      </c>
      <c r="V12" s="75">
        <v>3223083.89</v>
      </c>
      <c r="W12" s="75">
        <v>0</v>
      </c>
      <c r="X12" s="75">
        <f t="shared" si="7"/>
        <v>3223083.9</v>
      </c>
      <c r="Y12" s="75">
        <v>3223083.9</v>
      </c>
      <c r="Z12" s="75">
        <v>0</v>
      </c>
      <c r="AA12" s="76">
        <f t="shared" si="8"/>
        <v>3223083.9</v>
      </c>
      <c r="AB12" s="77">
        <v>3223083.9</v>
      </c>
      <c r="AC12" s="75">
        <v>0</v>
      </c>
      <c r="AD12" s="76">
        <f t="shared" si="9"/>
        <v>3223083.9</v>
      </c>
      <c r="AE12" s="65">
        <v>3223083.9</v>
      </c>
      <c r="AF12" s="32">
        <v>0</v>
      </c>
      <c r="AG12" s="64">
        <f t="shared" si="10"/>
        <v>3223083.9</v>
      </c>
      <c r="AH12" s="64">
        <v>3223083.9</v>
      </c>
      <c r="AI12" s="32">
        <v>0</v>
      </c>
      <c r="AJ12" s="33">
        <f t="shared" si="13"/>
        <v>35582318.919999994</v>
      </c>
      <c r="AK12" s="91">
        <f t="shared" si="11"/>
        <v>35582318.919999994</v>
      </c>
      <c r="AL12" s="54">
        <f t="shared" si="12"/>
        <v>0</v>
      </c>
      <c r="AM12" s="3"/>
      <c r="AN12" s="5"/>
    </row>
    <row r="13" spans="1:40" ht="13.9" customHeight="1" x14ac:dyDescent="0.15">
      <c r="A13" s="40" t="s">
        <v>20</v>
      </c>
      <c r="B13" s="57">
        <f t="shared" si="0"/>
        <v>2677938.29</v>
      </c>
      <c r="C13" s="57">
        <f>1720634.01+957304.28</f>
        <v>2677938.29</v>
      </c>
      <c r="D13" s="57">
        <v>0</v>
      </c>
      <c r="E13" s="57">
        <f t="shared" si="1"/>
        <v>2677938.29</v>
      </c>
      <c r="F13" s="57">
        <f>1720634.01+957304.28</f>
        <v>2677938.29</v>
      </c>
      <c r="G13" s="57">
        <v>0</v>
      </c>
      <c r="H13" s="57">
        <f t="shared" si="2"/>
        <v>2625465.21</v>
      </c>
      <c r="I13" s="57">
        <f>2677938.29-52473.08</f>
        <v>2625465.21</v>
      </c>
      <c r="J13" s="57">
        <v>0</v>
      </c>
      <c r="K13" s="57">
        <f t="shared" si="3"/>
        <v>2625465.21</v>
      </c>
      <c r="L13" s="57">
        <f>2677938.29-52473.08</f>
        <v>2625465.21</v>
      </c>
      <c r="M13" s="57">
        <v>0</v>
      </c>
      <c r="N13" s="31">
        <f t="shared" si="4"/>
        <v>2625558.7399999998</v>
      </c>
      <c r="O13" s="31">
        <v>2625558.7399999998</v>
      </c>
      <c r="P13" s="31">
        <v>0</v>
      </c>
      <c r="Q13" s="30" t="s">
        <v>20</v>
      </c>
      <c r="R13" s="32">
        <f t="shared" si="5"/>
        <v>2625305.87</v>
      </c>
      <c r="S13" s="32">
        <v>2625305.87</v>
      </c>
      <c r="T13" s="75">
        <v>0</v>
      </c>
      <c r="U13" s="75">
        <f t="shared" si="6"/>
        <v>2625305.87</v>
      </c>
      <c r="V13" s="75">
        <v>2625305.87</v>
      </c>
      <c r="W13" s="75">
        <v>0</v>
      </c>
      <c r="X13" s="75">
        <f t="shared" si="7"/>
        <v>2625305.85</v>
      </c>
      <c r="Y13" s="75">
        <v>2625305.85</v>
      </c>
      <c r="Z13" s="75">
        <v>0</v>
      </c>
      <c r="AA13" s="76">
        <f t="shared" si="8"/>
        <v>2625305.85</v>
      </c>
      <c r="AB13" s="77">
        <v>1736965.77</v>
      </c>
      <c r="AC13" s="75">
        <v>888340.08</v>
      </c>
      <c r="AD13" s="76">
        <f t="shared" si="9"/>
        <v>2625305.8499999996</v>
      </c>
      <c r="AE13" s="65">
        <v>2625305.8499999996</v>
      </c>
      <c r="AF13" s="32">
        <v>0</v>
      </c>
      <c r="AG13" s="64">
        <f t="shared" si="10"/>
        <v>2625305.8499999996</v>
      </c>
      <c r="AH13" s="64">
        <v>2625305.8499999996</v>
      </c>
      <c r="AI13" s="32">
        <v>0</v>
      </c>
      <c r="AJ13" s="33">
        <f t="shared" si="13"/>
        <v>28984200.880000003</v>
      </c>
      <c r="AK13" s="91">
        <f t="shared" si="11"/>
        <v>28095860.800000004</v>
      </c>
      <c r="AL13" s="54">
        <f>D13+G13+J13+M13+P13+T13+W13+Z13+AC13+AF13+AI13</f>
        <v>888340.08</v>
      </c>
      <c r="AM13" s="3"/>
      <c r="AN13" s="5"/>
    </row>
    <row r="14" spans="1:40" ht="13.9" customHeight="1" x14ac:dyDescent="0.15">
      <c r="A14" s="40" t="s">
        <v>6</v>
      </c>
      <c r="B14" s="57">
        <f t="shared" si="0"/>
        <v>3921372.2100000004</v>
      </c>
      <c r="C14" s="57">
        <v>3921372.2100000004</v>
      </c>
      <c r="D14" s="57">
        <v>0</v>
      </c>
      <c r="E14" s="57">
        <f t="shared" si="1"/>
        <v>3921372.2100000004</v>
      </c>
      <c r="F14" s="57">
        <v>3921372.2100000004</v>
      </c>
      <c r="G14" s="57">
        <v>0</v>
      </c>
      <c r="H14" s="57">
        <f t="shared" si="2"/>
        <v>3908041.39</v>
      </c>
      <c r="I14" s="57">
        <f>3982977.47-74936.08</f>
        <v>3908041.39</v>
      </c>
      <c r="J14" s="57">
        <v>0</v>
      </c>
      <c r="K14" s="57">
        <f t="shared" si="3"/>
        <v>3796856.3</v>
      </c>
      <c r="L14" s="31">
        <f>3871792.38-74936.08</f>
        <v>3796856.3</v>
      </c>
      <c r="M14" s="31">
        <v>0</v>
      </c>
      <c r="N14" s="31">
        <f t="shared" si="4"/>
        <v>3849430.88</v>
      </c>
      <c r="O14" s="31">
        <v>3849430.88</v>
      </c>
      <c r="P14" s="31">
        <v>0</v>
      </c>
      <c r="Q14" s="30" t="s">
        <v>6</v>
      </c>
      <c r="R14" s="32">
        <f t="shared" si="5"/>
        <v>3849053.12</v>
      </c>
      <c r="S14" s="32">
        <v>3849053.12</v>
      </c>
      <c r="T14" s="75">
        <v>0</v>
      </c>
      <c r="U14" s="75">
        <f t="shared" si="6"/>
        <v>3849053.12</v>
      </c>
      <c r="V14" s="75">
        <v>3849053.12</v>
      </c>
      <c r="W14" s="75">
        <v>0</v>
      </c>
      <c r="X14" s="75">
        <f t="shared" si="7"/>
        <v>3849053.12</v>
      </c>
      <c r="Y14" s="75">
        <v>3849053.12</v>
      </c>
      <c r="Z14" s="75">
        <v>0</v>
      </c>
      <c r="AA14" s="76">
        <f t="shared" si="8"/>
        <v>3849053.13</v>
      </c>
      <c r="AB14" s="77">
        <v>3849053.13</v>
      </c>
      <c r="AC14" s="75">
        <v>0</v>
      </c>
      <c r="AD14" s="76">
        <f t="shared" si="9"/>
        <v>3849053.13</v>
      </c>
      <c r="AE14" s="65">
        <v>3849053.13</v>
      </c>
      <c r="AF14" s="32">
        <v>0</v>
      </c>
      <c r="AG14" s="64">
        <f t="shared" si="10"/>
        <v>3849053.13</v>
      </c>
      <c r="AH14" s="64">
        <v>3849053.13</v>
      </c>
      <c r="AI14" s="32">
        <v>0</v>
      </c>
      <c r="AJ14" s="33">
        <f t="shared" si="13"/>
        <v>42491391.74000001</v>
      </c>
      <c r="AK14" s="91">
        <f t="shared" si="11"/>
        <v>42491391.74000001</v>
      </c>
      <c r="AL14" s="54">
        <f t="shared" si="12"/>
        <v>0</v>
      </c>
      <c r="AM14" s="3"/>
      <c r="AN14" s="5"/>
    </row>
    <row r="15" spans="1:40" ht="13.9" customHeight="1" x14ac:dyDescent="0.15">
      <c r="A15" s="40" t="s">
        <v>5</v>
      </c>
      <c r="B15" s="57">
        <f t="shared" si="0"/>
        <v>1246594.3500000003</v>
      </c>
      <c r="C15" s="57">
        <v>758446.60000000033</v>
      </c>
      <c r="D15" s="57">
        <v>488147.75</v>
      </c>
      <c r="E15" s="57">
        <f t="shared" si="1"/>
        <v>1246594.3499999999</v>
      </c>
      <c r="F15" s="57">
        <v>756073.94</v>
      </c>
      <c r="G15" s="57">
        <v>490520.41</v>
      </c>
      <c r="H15" s="57">
        <f t="shared" si="2"/>
        <v>1237991.6200000001</v>
      </c>
      <c r="I15" s="57">
        <f>1264467.55-26475.93</f>
        <v>1237991.6200000001</v>
      </c>
      <c r="J15" s="57">
        <v>0</v>
      </c>
      <c r="K15" s="57">
        <f t="shared" si="3"/>
        <v>1205734.1000000001</v>
      </c>
      <c r="L15" s="31">
        <f>1232210.03-26475.93</f>
        <v>1205734.1000000001</v>
      </c>
      <c r="M15" s="31">
        <v>0</v>
      </c>
      <c r="N15" s="31">
        <f t="shared" si="4"/>
        <v>1220987.27</v>
      </c>
      <c r="O15" s="31">
        <v>1220987.27</v>
      </c>
      <c r="P15" s="31">
        <v>0</v>
      </c>
      <c r="Q15" s="30" t="s">
        <v>5</v>
      </c>
      <c r="R15" s="32">
        <f t="shared" si="5"/>
        <v>1220877.67</v>
      </c>
      <c r="S15" s="32">
        <v>1220877.67</v>
      </c>
      <c r="T15" s="75">
        <v>0</v>
      </c>
      <c r="U15" s="75">
        <f t="shared" si="6"/>
        <v>1220877.67</v>
      </c>
      <c r="V15" s="75">
        <v>1220877.67</v>
      </c>
      <c r="W15" s="75">
        <v>0</v>
      </c>
      <c r="X15" s="75">
        <f t="shared" si="7"/>
        <v>1220877.67</v>
      </c>
      <c r="Y15" s="75">
        <v>1220877.67</v>
      </c>
      <c r="Z15" s="75">
        <v>0</v>
      </c>
      <c r="AA15" s="76">
        <f t="shared" si="8"/>
        <v>1220877.6700000002</v>
      </c>
      <c r="AB15" s="77">
        <v>1220877.6700000002</v>
      </c>
      <c r="AC15" s="75">
        <v>0</v>
      </c>
      <c r="AD15" s="76">
        <f t="shared" si="9"/>
        <v>1220877.6700000002</v>
      </c>
      <c r="AE15" s="65">
        <v>1220877.6700000002</v>
      </c>
      <c r="AF15" s="32">
        <v>0</v>
      </c>
      <c r="AG15" s="64">
        <f t="shared" si="10"/>
        <v>1220877.6700000002</v>
      </c>
      <c r="AH15" s="64">
        <v>1220877.6700000002</v>
      </c>
      <c r="AI15" s="32">
        <v>0</v>
      </c>
      <c r="AJ15" s="33">
        <f t="shared" si="13"/>
        <v>13483167.709999999</v>
      </c>
      <c r="AK15" s="91">
        <f t="shared" si="11"/>
        <v>12504499.549999999</v>
      </c>
      <c r="AL15" s="54">
        <f t="shared" si="12"/>
        <v>978668.15999999992</v>
      </c>
      <c r="AM15" s="3"/>
      <c r="AN15" s="5"/>
    </row>
    <row r="16" spans="1:40" ht="13.9" customHeight="1" x14ac:dyDescent="0.15">
      <c r="A16" s="40" t="s">
        <v>14</v>
      </c>
      <c r="B16" s="57">
        <f t="shared" si="0"/>
        <v>3744676.08</v>
      </c>
      <c r="C16" s="57">
        <v>3744676.08</v>
      </c>
      <c r="D16" s="57">
        <v>0</v>
      </c>
      <c r="E16" s="57">
        <f t="shared" si="1"/>
        <v>3744676.08</v>
      </c>
      <c r="F16" s="57">
        <v>3744676.08</v>
      </c>
      <c r="G16" s="57">
        <v>0</v>
      </c>
      <c r="H16" s="57">
        <f t="shared" si="2"/>
        <v>3731657.6</v>
      </c>
      <c r="I16" s="57">
        <f>3803392.39-71734.79</f>
        <v>3731657.6</v>
      </c>
      <c r="J16" s="57">
        <v>0</v>
      </c>
      <c r="K16" s="57">
        <f t="shared" si="3"/>
        <v>3625686.46</v>
      </c>
      <c r="L16" s="31">
        <f>3697421.25-71734.79</f>
        <v>3625686.46</v>
      </c>
      <c r="M16" s="31">
        <v>0</v>
      </c>
      <c r="N16" s="31">
        <f t="shared" si="4"/>
        <v>3675795.59</v>
      </c>
      <c r="O16" s="31">
        <v>3675795.59</v>
      </c>
      <c r="P16" s="31">
        <v>0</v>
      </c>
      <c r="Q16" s="30" t="s">
        <v>14</v>
      </c>
      <c r="R16" s="32">
        <f t="shared" si="5"/>
        <v>3675435.56</v>
      </c>
      <c r="S16" s="32">
        <v>3675435.56</v>
      </c>
      <c r="T16" s="75">
        <v>0</v>
      </c>
      <c r="U16" s="75">
        <f t="shared" si="6"/>
        <v>3675435.56</v>
      </c>
      <c r="V16" s="75">
        <v>3675435.56</v>
      </c>
      <c r="W16" s="75">
        <v>0</v>
      </c>
      <c r="X16" s="75">
        <f t="shared" si="7"/>
        <v>3675435.56</v>
      </c>
      <c r="Y16" s="75">
        <v>3675435.56</v>
      </c>
      <c r="Z16" s="75">
        <v>0</v>
      </c>
      <c r="AA16" s="76">
        <f t="shared" si="8"/>
        <v>3675435.55</v>
      </c>
      <c r="AB16" s="77">
        <v>3675435.55</v>
      </c>
      <c r="AC16" s="75">
        <v>0</v>
      </c>
      <c r="AD16" s="76">
        <f t="shared" si="9"/>
        <v>3675435.55</v>
      </c>
      <c r="AE16" s="65">
        <v>3675435.55</v>
      </c>
      <c r="AF16" s="32">
        <v>0</v>
      </c>
      <c r="AG16" s="64">
        <f t="shared" si="10"/>
        <v>3675435.55</v>
      </c>
      <c r="AH16" s="64">
        <v>3675435.55</v>
      </c>
      <c r="AI16" s="32">
        <v>0</v>
      </c>
      <c r="AJ16" s="33">
        <f t="shared" si="13"/>
        <v>40575105.139999993</v>
      </c>
      <c r="AK16" s="91">
        <f t="shared" si="11"/>
        <v>40575105.139999993</v>
      </c>
      <c r="AL16" s="54">
        <f t="shared" si="12"/>
        <v>0</v>
      </c>
      <c r="AM16" s="3"/>
    </row>
    <row r="17" spans="1:40" ht="13.9" customHeight="1" x14ac:dyDescent="0.15">
      <c r="A17" s="40" t="s">
        <v>11</v>
      </c>
      <c r="B17" s="57">
        <f t="shared" si="0"/>
        <v>3584810.35</v>
      </c>
      <c r="C17" s="57">
        <v>3584810.35</v>
      </c>
      <c r="D17" s="57">
        <v>0</v>
      </c>
      <c r="E17" s="57">
        <f t="shared" si="1"/>
        <v>3584810.35</v>
      </c>
      <c r="F17" s="57">
        <v>3584810.35</v>
      </c>
      <c r="G17" s="57">
        <v>0</v>
      </c>
      <c r="H17" s="57">
        <f t="shared" si="2"/>
        <v>3572074.4499999997</v>
      </c>
      <c r="I17" s="57">
        <f>3640912.88-68838.43</f>
        <v>3572074.4499999997</v>
      </c>
      <c r="J17" s="57">
        <v>0</v>
      </c>
      <c r="K17" s="57">
        <f t="shared" si="3"/>
        <v>3470820.6399999997</v>
      </c>
      <c r="L17" s="31">
        <f>3539659.07-68838.43</f>
        <v>3470820.6399999997</v>
      </c>
      <c r="M17" s="31">
        <v>0</v>
      </c>
      <c r="N17" s="31">
        <f t="shared" si="4"/>
        <v>3518699.16</v>
      </c>
      <c r="O17" s="31">
        <v>3518699.16</v>
      </c>
      <c r="P17" s="31">
        <v>0</v>
      </c>
      <c r="Q17" s="30" t="s">
        <v>11</v>
      </c>
      <c r="R17" s="32">
        <f t="shared" si="5"/>
        <v>3518355.14</v>
      </c>
      <c r="S17" s="32">
        <v>3518355.14</v>
      </c>
      <c r="T17" s="75">
        <v>0</v>
      </c>
      <c r="U17" s="75">
        <f t="shared" si="6"/>
        <v>3518355.14</v>
      </c>
      <c r="V17" s="75">
        <v>3518355.14</v>
      </c>
      <c r="W17" s="75">
        <v>0</v>
      </c>
      <c r="X17" s="75">
        <f t="shared" si="7"/>
        <v>3518355.14</v>
      </c>
      <c r="Y17" s="75">
        <v>3518355.14</v>
      </c>
      <c r="Z17" s="75">
        <v>0</v>
      </c>
      <c r="AA17" s="76">
        <f t="shared" si="8"/>
        <v>3518355.1399999997</v>
      </c>
      <c r="AB17" s="77">
        <v>3518355.1399999997</v>
      </c>
      <c r="AC17" s="75">
        <v>0</v>
      </c>
      <c r="AD17" s="76">
        <f t="shared" si="9"/>
        <v>3518355.1399999997</v>
      </c>
      <c r="AE17" s="65">
        <v>3518355.1399999997</v>
      </c>
      <c r="AF17" s="32">
        <v>0</v>
      </c>
      <c r="AG17" s="64">
        <f t="shared" si="10"/>
        <v>3518355.1399999997</v>
      </c>
      <c r="AH17" s="64">
        <v>3518355.1399999997</v>
      </c>
      <c r="AI17" s="32">
        <v>0</v>
      </c>
      <c r="AJ17" s="33">
        <f t="shared" si="13"/>
        <v>38841345.789999999</v>
      </c>
      <c r="AK17" s="91">
        <f t="shared" si="11"/>
        <v>38841345.789999999</v>
      </c>
      <c r="AL17" s="54">
        <f t="shared" si="12"/>
        <v>0</v>
      </c>
    </row>
    <row r="18" spans="1:40" ht="13.9" customHeight="1" x14ac:dyDescent="0.15">
      <c r="A18" s="40" t="s">
        <v>17</v>
      </c>
      <c r="B18" s="57">
        <f t="shared" si="0"/>
        <v>1558713.1500000001</v>
      </c>
      <c r="C18" s="57">
        <v>1558713.1500000001</v>
      </c>
      <c r="D18" s="57">
        <v>0</v>
      </c>
      <c r="E18" s="57">
        <f t="shared" si="1"/>
        <v>1558713.1500000001</v>
      </c>
      <c r="F18" s="57">
        <v>1558713.1500000001</v>
      </c>
      <c r="G18" s="57">
        <v>0</v>
      </c>
      <c r="H18" s="57">
        <f t="shared" si="2"/>
        <v>1549555.9</v>
      </c>
      <c r="I18" s="57">
        <f>1581689.41-32133.51</f>
        <v>1549555.9</v>
      </c>
      <c r="J18" s="57">
        <v>0</v>
      </c>
      <c r="K18" s="57">
        <f t="shared" si="3"/>
        <v>1508088.35</v>
      </c>
      <c r="L18" s="31">
        <f>1540221.86-32133.51</f>
        <v>1508088.35</v>
      </c>
      <c r="M18" s="31">
        <v>0</v>
      </c>
      <c r="N18" s="31">
        <f t="shared" si="4"/>
        <v>1527699.34</v>
      </c>
      <c r="O18" s="31">
        <v>1527699.34</v>
      </c>
      <c r="P18" s="31">
        <v>0</v>
      </c>
      <c r="Q18" s="30" t="s">
        <v>17</v>
      </c>
      <c r="R18" s="32">
        <f t="shared" si="5"/>
        <v>1527741.48</v>
      </c>
      <c r="S18" s="32">
        <v>1527741.48</v>
      </c>
      <c r="T18" s="75">
        <v>0</v>
      </c>
      <c r="U18" s="75">
        <f t="shared" si="6"/>
        <v>1527741.48</v>
      </c>
      <c r="V18" s="75">
        <v>1527741.48</v>
      </c>
      <c r="W18" s="75">
        <v>0</v>
      </c>
      <c r="X18" s="75">
        <f t="shared" si="7"/>
        <v>1527741.48</v>
      </c>
      <c r="Y18" s="75">
        <v>1527741.48</v>
      </c>
      <c r="Z18" s="75">
        <v>0</v>
      </c>
      <c r="AA18" s="76">
        <f t="shared" si="8"/>
        <v>1527741.48</v>
      </c>
      <c r="AB18" s="77">
        <v>1527741.48</v>
      </c>
      <c r="AC18" s="75">
        <v>0</v>
      </c>
      <c r="AD18" s="76">
        <f t="shared" si="9"/>
        <v>1527741.48</v>
      </c>
      <c r="AE18" s="65">
        <v>1527741.48</v>
      </c>
      <c r="AF18" s="32">
        <v>0</v>
      </c>
      <c r="AG18" s="64">
        <f t="shared" si="10"/>
        <v>1527741.48</v>
      </c>
      <c r="AH18" s="64">
        <v>1527741.48</v>
      </c>
      <c r="AI18" s="32">
        <v>0</v>
      </c>
      <c r="AJ18" s="33">
        <f t="shared" si="13"/>
        <v>16869218.770000003</v>
      </c>
      <c r="AK18" s="91">
        <f t="shared" si="11"/>
        <v>16869218.770000003</v>
      </c>
      <c r="AL18" s="54">
        <f t="shared" si="12"/>
        <v>0</v>
      </c>
    </row>
    <row r="19" spans="1:40" ht="13.9" customHeight="1" x14ac:dyDescent="0.15">
      <c r="A19" s="40" t="s">
        <v>4</v>
      </c>
      <c r="B19" s="57">
        <f t="shared" si="0"/>
        <v>3880368.8800000004</v>
      </c>
      <c r="C19" s="57">
        <v>3880368.8800000004</v>
      </c>
      <c r="D19" s="57">
        <v>0</v>
      </c>
      <c r="E19" s="57">
        <f t="shared" si="1"/>
        <v>3880368.8800000004</v>
      </c>
      <c r="F19" s="57">
        <v>3880368.8800000004</v>
      </c>
      <c r="G19" s="57">
        <v>0</v>
      </c>
      <c r="H19" s="57">
        <f t="shared" si="2"/>
        <v>3867110.53</v>
      </c>
      <c r="I19" s="57">
        <f>3941303.73-74193.2</f>
        <v>3867110.53</v>
      </c>
      <c r="J19" s="57">
        <v>0</v>
      </c>
      <c r="K19" s="57">
        <f t="shared" si="3"/>
        <v>3757135.36</v>
      </c>
      <c r="L19" s="31">
        <f>3831328.56-74193.2</f>
        <v>3757135.36</v>
      </c>
      <c r="M19" s="31">
        <v>0</v>
      </c>
      <c r="N19" s="31">
        <f t="shared" si="4"/>
        <v>3809137.83</v>
      </c>
      <c r="O19" s="31">
        <v>3809137.83</v>
      </c>
      <c r="P19" s="31">
        <v>0</v>
      </c>
      <c r="Q19" s="30" t="s">
        <v>4</v>
      </c>
      <c r="R19" s="32">
        <f t="shared" si="5"/>
        <v>3808764.18</v>
      </c>
      <c r="S19" s="32">
        <v>3808764.18</v>
      </c>
      <c r="T19" s="75">
        <v>0</v>
      </c>
      <c r="U19" s="75">
        <f t="shared" si="6"/>
        <v>3808764.18</v>
      </c>
      <c r="V19" s="75">
        <v>3808764.18</v>
      </c>
      <c r="W19" s="75">
        <v>0</v>
      </c>
      <c r="X19" s="75">
        <f t="shared" si="7"/>
        <v>3808764.18</v>
      </c>
      <c r="Y19" s="75">
        <v>3808764.18</v>
      </c>
      <c r="Z19" s="75">
        <v>0</v>
      </c>
      <c r="AA19" s="76">
        <f t="shared" si="8"/>
        <v>3808764.1799999997</v>
      </c>
      <c r="AB19" s="77">
        <v>3808764.1799999997</v>
      </c>
      <c r="AC19" s="75">
        <v>0</v>
      </c>
      <c r="AD19" s="76">
        <f t="shared" si="9"/>
        <v>3808764.1799999997</v>
      </c>
      <c r="AE19" s="65">
        <v>3808764.1799999997</v>
      </c>
      <c r="AF19" s="32">
        <v>0</v>
      </c>
      <c r="AG19" s="64">
        <f t="shared" si="10"/>
        <v>3808764.1799999997</v>
      </c>
      <c r="AH19" s="64">
        <v>3808764.1799999997</v>
      </c>
      <c r="AI19" s="32">
        <v>0</v>
      </c>
      <c r="AJ19" s="33">
        <f t="shared" si="13"/>
        <v>42046706.560000002</v>
      </c>
      <c r="AK19" s="91">
        <f t="shared" si="11"/>
        <v>42046706.560000002</v>
      </c>
      <c r="AL19" s="54">
        <f t="shared" si="12"/>
        <v>0</v>
      </c>
      <c r="AN19" s="1" t="s">
        <v>23</v>
      </c>
    </row>
    <row r="20" spans="1:40" ht="13.9" customHeight="1" x14ac:dyDescent="0.15">
      <c r="A20" s="40" t="s">
        <v>15</v>
      </c>
      <c r="B20" s="57">
        <f t="shared" si="0"/>
        <v>1366792.3200000003</v>
      </c>
      <c r="C20" s="57">
        <v>1366792.3200000003</v>
      </c>
      <c r="D20" s="57">
        <v>0</v>
      </c>
      <c r="E20" s="57">
        <f t="shared" si="1"/>
        <v>1366792.3200000003</v>
      </c>
      <c r="F20" s="57">
        <v>1366792.3200000003</v>
      </c>
      <c r="G20" s="57">
        <v>0</v>
      </c>
      <c r="H20" s="57">
        <f t="shared" si="2"/>
        <v>1357977.1199999999</v>
      </c>
      <c r="I20" s="57">
        <f>1386630.73-28653.61</f>
        <v>1357977.1199999999</v>
      </c>
      <c r="J20" s="57">
        <v>0</v>
      </c>
      <c r="K20" s="57">
        <f t="shared" si="3"/>
        <v>1322172.7799999998</v>
      </c>
      <c r="L20" s="31">
        <f>1350826.39-28653.61</f>
        <v>1322172.7799999998</v>
      </c>
      <c r="M20" s="31">
        <v>0</v>
      </c>
      <c r="N20" s="31">
        <f t="shared" si="4"/>
        <v>1339103.0900000001</v>
      </c>
      <c r="O20" s="31">
        <v>1339103.0900000001</v>
      </c>
      <c r="P20" s="31">
        <v>0</v>
      </c>
      <c r="Q20" s="30" t="s">
        <v>15</v>
      </c>
      <c r="R20" s="32">
        <f t="shared" si="5"/>
        <v>1338981.45</v>
      </c>
      <c r="S20" s="32">
        <v>1338981.45</v>
      </c>
      <c r="T20" s="75">
        <v>0</v>
      </c>
      <c r="U20" s="75">
        <f t="shared" si="6"/>
        <v>1338981.45</v>
      </c>
      <c r="V20" s="75">
        <v>1338981.45</v>
      </c>
      <c r="W20" s="75">
        <v>0</v>
      </c>
      <c r="X20" s="75">
        <f t="shared" si="7"/>
        <v>1338981.45</v>
      </c>
      <c r="Y20" s="75">
        <v>1338981.45</v>
      </c>
      <c r="Z20" s="75">
        <v>0</v>
      </c>
      <c r="AA20" s="76">
        <f t="shared" si="8"/>
        <v>1338981.4400000002</v>
      </c>
      <c r="AB20" s="77">
        <v>1338981.4400000002</v>
      </c>
      <c r="AC20" s="75">
        <v>0</v>
      </c>
      <c r="AD20" s="76">
        <f t="shared" si="9"/>
        <v>1338981.4400000002</v>
      </c>
      <c r="AE20" s="65">
        <v>1338981.4400000002</v>
      </c>
      <c r="AF20" s="32">
        <v>0</v>
      </c>
      <c r="AG20" s="64">
        <f t="shared" si="10"/>
        <v>1338981.4400000002</v>
      </c>
      <c r="AH20" s="64">
        <v>1338981.4400000002</v>
      </c>
      <c r="AI20" s="32">
        <v>0</v>
      </c>
      <c r="AJ20" s="33">
        <f t="shared" si="13"/>
        <v>14786726.299999999</v>
      </c>
      <c r="AK20" s="91">
        <f t="shared" si="11"/>
        <v>14786726.299999999</v>
      </c>
      <c r="AL20" s="54">
        <f t="shared" si="12"/>
        <v>0</v>
      </c>
    </row>
    <row r="21" spans="1:40" ht="13.9" customHeight="1" x14ac:dyDescent="0.15">
      <c r="A21" s="40" t="s">
        <v>16</v>
      </c>
      <c r="B21" s="57">
        <f t="shared" si="0"/>
        <v>4105148.9999999995</v>
      </c>
      <c r="C21" s="57">
        <v>4105148.9999999995</v>
      </c>
      <c r="D21" s="57">
        <v>0</v>
      </c>
      <c r="E21" s="57">
        <f t="shared" si="1"/>
        <v>4105148.9999999995</v>
      </c>
      <c r="F21" s="57">
        <v>4105148.9999999995</v>
      </c>
      <c r="G21" s="57">
        <v>0</v>
      </c>
      <c r="H21" s="57">
        <f t="shared" si="2"/>
        <v>4091493.3400000003</v>
      </c>
      <c r="I21" s="57">
        <f>4169758.97-78265.63</f>
        <v>4091493.3400000003</v>
      </c>
      <c r="J21" s="57">
        <v>0</v>
      </c>
      <c r="K21" s="57">
        <f t="shared" si="3"/>
        <v>3974885.3200000003</v>
      </c>
      <c r="L21" s="31">
        <f>4053150.95-78265.63</f>
        <v>3974885.3200000003</v>
      </c>
      <c r="M21" s="31">
        <v>0</v>
      </c>
      <c r="N21" s="31">
        <f t="shared" si="4"/>
        <v>4030024.17</v>
      </c>
      <c r="O21" s="31">
        <v>4030024.17</v>
      </c>
      <c r="P21" s="31">
        <v>0</v>
      </c>
      <c r="Q21" s="30" t="s">
        <v>16</v>
      </c>
      <c r="R21" s="32">
        <f t="shared" si="5"/>
        <v>4029627.99</v>
      </c>
      <c r="S21" s="32">
        <v>4029627.99</v>
      </c>
      <c r="T21" s="75">
        <v>0</v>
      </c>
      <c r="U21" s="75">
        <f t="shared" si="6"/>
        <v>4029627.99</v>
      </c>
      <c r="V21" s="75">
        <v>4029627.99</v>
      </c>
      <c r="W21" s="75">
        <v>0</v>
      </c>
      <c r="X21" s="75">
        <f t="shared" si="7"/>
        <v>4029627.99</v>
      </c>
      <c r="Y21" s="75">
        <v>4029627.99</v>
      </c>
      <c r="Z21" s="75">
        <v>0</v>
      </c>
      <c r="AA21" s="76">
        <f t="shared" si="8"/>
        <v>4029627.9899999998</v>
      </c>
      <c r="AB21" s="77">
        <v>4029627.9899999998</v>
      </c>
      <c r="AC21" s="75">
        <v>0</v>
      </c>
      <c r="AD21" s="76">
        <f t="shared" si="9"/>
        <v>4029627.9899999998</v>
      </c>
      <c r="AE21" s="65">
        <v>4029627.9899999998</v>
      </c>
      <c r="AF21" s="32">
        <v>0</v>
      </c>
      <c r="AG21" s="64">
        <f t="shared" si="10"/>
        <v>4029627.9899999998</v>
      </c>
      <c r="AH21" s="64">
        <v>4029627.9899999998</v>
      </c>
      <c r="AI21" s="32">
        <v>0</v>
      </c>
      <c r="AJ21" s="33">
        <f t="shared" si="13"/>
        <v>44484468.770000011</v>
      </c>
      <c r="AK21" s="91">
        <f t="shared" si="11"/>
        <v>44484468.770000011</v>
      </c>
      <c r="AL21" s="54">
        <f t="shared" si="12"/>
        <v>0</v>
      </c>
    </row>
    <row r="22" spans="1:40" ht="13.9" customHeight="1" x14ac:dyDescent="0.15">
      <c r="A22" s="40" t="s">
        <v>0</v>
      </c>
      <c r="B22" s="57">
        <f t="shared" si="0"/>
        <v>4203303.5099999988</v>
      </c>
      <c r="C22" s="57">
        <v>4203303.5099999988</v>
      </c>
      <c r="D22" s="57">
        <v>0</v>
      </c>
      <c r="E22" s="57">
        <f t="shared" si="1"/>
        <v>4203303.5099999988</v>
      </c>
      <c r="F22" s="57">
        <v>4203303.5099999988</v>
      </c>
      <c r="G22" s="57">
        <v>0</v>
      </c>
      <c r="H22" s="57">
        <f t="shared" si="2"/>
        <v>4189474.35</v>
      </c>
      <c r="I22" s="57">
        <f>4269518.29-80043.94</f>
        <v>4189474.35</v>
      </c>
      <c r="J22" s="57">
        <v>0</v>
      </c>
      <c r="K22" s="57">
        <f t="shared" si="3"/>
        <v>4069969.98</v>
      </c>
      <c r="L22" s="31">
        <f>4150013.92-80043.94</f>
        <v>4069969.98</v>
      </c>
      <c r="M22" s="31">
        <v>0</v>
      </c>
      <c r="N22" s="31">
        <f t="shared" si="4"/>
        <v>4126478.39</v>
      </c>
      <c r="O22" s="31">
        <v>4126478.39</v>
      </c>
      <c r="P22" s="31">
        <v>0</v>
      </c>
      <c r="Q22" s="30" t="s">
        <v>0</v>
      </c>
      <c r="R22" s="32">
        <f t="shared" si="5"/>
        <v>4126072.36</v>
      </c>
      <c r="S22" s="32">
        <v>4126072.36</v>
      </c>
      <c r="T22" s="75">
        <v>0</v>
      </c>
      <c r="U22" s="75">
        <f t="shared" si="6"/>
        <v>4126072.36</v>
      </c>
      <c r="V22" s="75">
        <v>1821198.04</v>
      </c>
      <c r="W22" s="75">
        <v>2304874.3199999998</v>
      </c>
      <c r="X22" s="75">
        <f t="shared" si="7"/>
        <v>4126072.37</v>
      </c>
      <c r="Y22" s="75">
        <v>1821198.06</v>
      </c>
      <c r="Z22" s="75">
        <v>2304874.31</v>
      </c>
      <c r="AA22" s="76">
        <f t="shared" si="8"/>
        <v>4126072.3699999996</v>
      </c>
      <c r="AB22" s="77">
        <v>4126072.3699999996</v>
      </c>
      <c r="AC22" s="75">
        <v>0</v>
      </c>
      <c r="AD22" s="76">
        <f t="shared" si="9"/>
        <v>4126072.3699999996</v>
      </c>
      <c r="AE22" s="65">
        <v>4126072.3699999996</v>
      </c>
      <c r="AF22" s="32">
        <v>0</v>
      </c>
      <c r="AG22" s="64">
        <f t="shared" si="10"/>
        <v>4126072.3699999996</v>
      </c>
      <c r="AH22" s="64">
        <v>4126072.3699999996</v>
      </c>
      <c r="AI22" s="32">
        <v>0</v>
      </c>
      <c r="AJ22" s="33">
        <f t="shared" si="13"/>
        <v>45548963.93999999</v>
      </c>
      <c r="AK22" s="91">
        <f t="shared" si="11"/>
        <v>40939215.309999995</v>
      </c>
      <c r="AL22" s="54">
        <f t="shared" si="12"/>
        <v>4609748.63</v>
      </c>
    </row>
    <row r="23" spans="1:40" ht="13.9" customHeight="1" x14ac:dyDescent="0.15">
      <c r="A23" s="40" t="s">
        <v>10</v>
      </c>
      <c r="B23" s="57">
        <f t="shared" si="0"/>
        <v>8029287.3499999987</v>
      </c>
      <c r="C23" s="57">
        <v>8029287.3499999987</v>
      </c>
      <c r="D23" s="57">
        <v>0</v>
      </c>
      <c r="E23" s="57">
        <f t="shared" si="1"/>
        <v>8029287.3499999987</v>
      </c>
      <c r="F23" s="57">
        <v>8029287.3499999987</v>
      </c>
      <c r="G23" s="57">
        <v>0</v>
      </c>
      <c r="H23" s="57">
        <f t="shared" si="2"/>
        <v>8008695.1699999999</v>
      </c>
      <c r="I23" s="57">
        <f>8158056.17-149361</f>
        <v>8008695.1699999999</v>
      </c>
      <c r="J23" s="57">
        <v>0</v>
      </c>
      <c r="K23" s="57">
        <f t="shared" si="3"/>
        <v>7776293.3600000003</v>
      </c>
      <c r="L23" s="31">
        <f>7925654.36-149361</f>
        <v>7776293.3600000003</v>
      </c>
      <c r="M23" s="31">
        <v>0</v>
      </c>
      <c r="N23" s="31">
        <f t="shared" si="4"/>
        <v>7886186.04</v>
      </c>
      <c r="O23" s="31">
        <v>7886186.04</v>
      </c>
      <c r="P23" s="31">
        <v>0</v>
      </c>
      <c r="Q23" s="30" t="s">
        <v>10</v>
      </c>
      <c r="R23" s="32">
        <f t="shared" si="5"/>
        <v>7885396.4400000004</v>
      </c>
      <c r="S23" s="32">
        <v>7885396.4400000004</v>
      </c>
      <c r="T23" s="75">
        <v>0</v>
      </c>
      <c r="U23" s="75">
        <f t="shared" si="6"/>
        <v>7885396.4400000004</v>
      </c>
      <c r="V23" s="75">
        <v>7885396.4400000004</v>
      </c>
      <c r="W23" s="75">
        <v>0</v>
      </c>
      <c r="X23" s="75">
        <f t="shared" si="7"/>
        <v>7885396.4400000004</v>
      </c>
      <c r="Y23" s="75">
        <v>7885396.4400000004</v>
      </c>
      <c r="Z23" s="75">
        <v>0</v>
      </c>
      <c r="AA23" s="76">
        <f t="shared" si="8"/>
        <v>7885396.4400000004</v>
      </c>
      <c r="AB23" s="77">
        <v>7885396.4400000004</v>
      </c>
      <c r="AC23" s="75">
        <v>0</v>
      </c>
      <c r="AD23" s="76">
        <f t="shared" si="9"/>
        <v>7885396.4400000004</v>
      </c>
      <c r="AE23" s="65">
        <v>7885396.4400000004</v>
      </c>
      <c r="AF23" s="32">
        <v>0</v>
      </c>
      <c r="AG23" s="64">
        <f t="shared" si="10"/>
        <v>7885396.4400000004</v>
      </c>
      <c r="AH23" s="64">
        <v>7885396.4400000004</v>
      </c>
      <c r="AI23" s="32">
        <v>0</v>
      </c>
      <c r="AJ23" s="33">
        <f t="shared" si="13"/>
        <v>87042127.909999982</v>
      </c>
      <c r="AK23" s="91">
        <f t="shared" si="11"/>
        <v>87042127.909999982</v>
      </c>
      <c r="AL23" s="54">
        <f t="shared" si="12"/>
        <v>0</v>
      </c>
    </row>
    <row r="24" spans="1:40" ht="13.9" customHeight="1" x14ac:dyDescent="0.15">
      <c r="A24" s="40" t="s">
        <v>7</v>
      </c>
      <c r="B24" s="57">
        <f t="shared" si="0"/>
        <v>2067027.5400000003</v>
      </c>
      <c r="C24" s="57">
        <v>2067027.5400000003</v>
      </c>
      <c r="D24" s="57">
        <v>0</v>
      </c>
      <c r="E24" s="57">
        <f t="shared" si="1"/>
        <v>2067027.5400000003</v>
      </c>
      <c r="F24" s="57">
        <v>2067027.5400000003</v>
      </c>
      <c r="G24" s="57">
        <v>0</v>
      </c>
      <c r="H24" s="57">
        <f t="shared" si="2"/>
        <v>2056974.5699999998</v>
      </c>
      <c r="I24" s="57">
        <f>2098314.65-41340.08</f>
        <v>2056974.5699999998</v>
      </c>
      <c r="J24" s="57">
        <v>0</v>
      </c>
      <c r="K24" s="57">
        <f t="shared" si="3"/>
        <v>2000507.63</v>
      </c>
      <c r="L24" s="31">
        <f>2041847.71-41340.08</f>
        <v>2000507.63</v>
      </c>
      <c r="M24" s="31">
        <v>0</v>
      </c>
      <c r="N24" s="31">
        <f t="shared" si="4"/>
        <v>2027208.38</v>
      </c>
      <c r="O24" s="31">
        <v>2027208.38</v>
      </c>
      <c r="P24" s="31">
        <v>0</v>
      </c>
      <c r="Q24" s="30" t="s">
        <v>7</v>
      </c>
      <c r="R24" s="32">
        <f t="shared" si="5"/>
        <v>2027016.53</v>
      </c>
      <c r="S24" s="32">
        <v>2027016.53</v>
      </c>
      <c r="T24" s="75">
        <v>0</v>
      </c>
      <c r="U24" s="75">
        <f t="shared" si="6"/>
        <v>2027016.53</v>
      </c>
      <c r="V24" s="75">
        <v>2027016.53</v>
      </c>
      <c r="W24" s="75">
        <v>0</v>
      </c>
      <c r="X24" s="75">
        <f t="shared" si="7"/>
        <v>2027016.53</v>
      </c>
      <c r="Y24" s="75">
        <v>2027016.53</v>
      </c>
      <c r="Z24" s="75">
        <v>0</v>
      </c>
      <c r="AA24" s="76">
        <f t="shared" si="8"/>
        <v>2027016.53</v>
      </c>
      <c r="AB24" s="77">
        <v>2027016.53</v>
      </c>
      <c r="AC24" s="75">
        <v>0</v>
      </c>
      <c r="AD24" s="76">
        <f t="shared" si="9"/>
        <v>2027016.53</v>
      </c>
      <c r="AE24" s="65">
        <v>2027016.53</v>
      </c>
      <c r="AF24" s="32">
        <v>0</v>
      </c>
      <c r="AG24" s="64">
        <f t="shared" si="10"/>
        <v>2027016.53</v>
      </c>
      <c r="AH24" s="64">
        <v>2027016.53</v>
      </c>
      <c r="AI24" s="32">
        <v>0</v>
      </c>
      <c r="AJ24" s="33">
        <f t="shared" si="13"/>
        <v>22380844.84</v>
      </c>
      <c r="AK24" s="91">
        <f t="shared" si="11"/>
        <v>22380844.84</v>
      </c>
      <c r="AL24" s="54">
        <f t="shared" si="12"/>
        <v>0</v>
      </c>
    </row>
    <row r="25" spans="1:40" ht="13.9" customHeight="1" x14ac:dyDescent="0.15">
      <c r="A25" s="40" t="s">
        <v>1</v>
      </c>
      <c r="B25" s="57">
        <f t="shared" si="0"/>
        <v>7114205.9499999993</v>
      </c>
      <c r="C25" s="57">
        <v>6757779.6999999993</v>
      </c>
      <c r="D25" s="57">
        <v>356426.25</v>
      </c>
      <c r="E25" s="57">
        <f t="shared" si="1"/>
        <v>7114205.9500000002</v>
      </c>
      <c r="F25" s="57">
        <v>6756077.5099999998</v>
      </c>
      <c r="G25" s="57">
        <v>358128.44</v>
      </c>
      <c r="H25" s="57">
        <f t="shared" si="2"/>
        <v>7095231.3199999994</v>
      </c>
      <c r="I25" s="57">
        <f>6868268.06-132782.07</f>
        <v>6735485.9899999993</v>
      </c>
      <c r="J25" s="57">
        <v>359745.33</v>
      </c>
      <c r="K25" s="57">
        <f t="shared" si="3"/>
        <v>6889831.8299999991</v>
      </c>
      <c r="L25" s="31">
        <f>6661081.06-132782.07</f>
        <v>6528298.9899999993</v>
      </c>
      <c r="M25" s="57">
        <v>361532.84</v>
      </c>
      <c r="N25" s="57">
        <f t="shared" si="4"/>
        <v>6986956.2799999993</v>
      </c>
      <c r="O25" s="57">
        <v>6623550.5599999996</v>
      </c>
      <c r="P25" s="57">
        <f>212120.66+151285.06</f>
        <v>363405.72</v>
      </c>
      <c r="Q25" s="30" t="s">
        <v>1</v>
      </c>
      <c r="R25" s="32">
        <f t="shared" si="5"/>
        <v>6986258.4199999999</v>
      </c>
      <c r="S25" s="32">
        <v>6621235.8099999996</v>
      </c>
      <c r="T25" s="75">
        <f>213062.69+151959.92</f>
        <v>365022.61</v>
      </c>
      <c r="U25" s="75">
        <f t="shared" si="6"/>
        <v>6986258.4199999999</v>
      </c>
      <c r="V25" s="75">
        <v>6619277.5700000003</v>
      </c>
      <c r="W25" s="75">
        <v>366980.85</v>
      </c>
      <c r="X25" s="75">
        <f t="shared" si="7"/>
        <v>6986258.4300000006</v>
      </c>
      <c r="Y25" s="75">
        <v>6617547.2300000004</v>
      </c>
      <c r="Z25" s="75">
        <v>368711.2</v>
      </c>
      <c r="AA25" s="76">
        <f t="shared" si="8"/>
        <v>6986258.4299999997</v>
      </c>
      <c r="AB25" s="75">
        <v>6615947.79</v>
      </c>
      <c r="AC25" s="75">
        <f>216143.6+154167.04</f>
        <v>370310.64</v>
      </c>
      <c r="AD25" s="76">
        <f t="shared" si="9"/>
        <v>6987911.3399999999</v>
      </c>
      <c r="AE25" s="32">
        <v>6615947.79</v>
      </c>
      <c r="AF25" s="32">
        <f>217106.62+154856.93</f>
        <v>371963.55</v>
      </c>
      <c r="AG25" s="64">
        <f t="shared" si="10"/>
        <v>6986258.4199999999</v>
      </c>
      <c r="AH25" s="32">
        <v>6611330.0599999996</v>
      </c>
      <c r="AI25" s="32">
        <f>218833.98+156094.38</f>
        <v>374928.36</v>
      </c>
      <c r="AJ25" s="33">
        <f t="shared" si="13"/>
        <v>77119634.790000007</v>
      </c>
      <c r="AK25" s="91">
        <f t="shared" si="11"/>
        <v>73102479</v>
      </c>
      <c r="AL25" s="54">
        <f t="shared" si="12"/>
        <v>4017155.79</v>
      </c>
    </row>
    <row r="26" spans="1:40" ht="13.9" customHeight="1" x14ac:dyDescent="0.15">
      <c r="A26" s="40" t="s">
        <v>3</v>
      </c>
      <c r="B26" s="57">
        <f t="shared" si="0"/>
        <v>1543786.7800000003</v>
      </c>
      <c r="C26" s="57">
        <v>1543786.7800000003</v>
      </c>
      <c r="D26" s="57">
        <v>0</v>
      </c>
      <c r="E26" s="57">
        <f t="shared" si="1"/>
        <v>1543786.7800000003</v>
      </c>
      <c r="F26" s="57">
        <v>1543786.7800000003</v>
      </c>
      <c r="G26" s="57">
        <v>0</v>
      </c>
      <c r="H26" s="57">
        <f t="shared" si="2"/>
        <v>1534658.71</v>
      </c>
      <c r="I26" s="57">
        <f>1566519-31860.29</f>
        <v>1534658.71</v>
      </c>
      <c r="J26" s="57">
        <v>0</v>
      </c>
      <c r="K26" s="57">
        <f t="shared" si="3"/>
        <v>1493631.5899999999</v>
      </c>
      <c r="L26" s="31">
        <f>1525491.88-31860.29</f>
        <v>1493631.5899999999</v>
      </c>
      <c r="M26" s="57">
        <v>0</v>
      </c>
      <c r="N26" s="57">
        <f t="shared" si="4"/>
        <v>1513031.55</v>
      </c>
      <c r="O26" s="57">
        <v>1513031.55</v>
      </c>
      <c r="P26" s="57">
        <v>0</v>
      </c>
      <c r="Q26" s="30" t="s">
        <v>3</v>
      </c>
      <c r="R26" s="32">
        <f t="shared" si="5"/>
        <v>1512892.14</v>
      </c>
      <c r="S26" s="32">
        <v>1512892.14</v>
      </c>
      <c r="T26" s="75">
        <v>0</v>
      </c>
      <c r="U26" s="75">
        <f t="shared" si="6"/>
        <v>1512892.14</v>
      </c>
      <c r="V26" s="75">
        <v>1512892.14</v>
      </c>
      <c r="W26" s="75">
        <v>0</v>
      </c>
      <c r="X26" s="75">
        <f t="shared" si="7"/>
        <v>1512892.14</v>
      </c>
      <c r="Y26" s="75">
        <v>1512892.14</v>
      </c>
      <c r="Z26" s="75">
        <v>0</v>
      </c>
      <c r="AA26" s="76">
        <f t="shared" si="8"/>
        <v>1512892.1400000001</v>
      </c>
      <c r="AB26" s="77">
        <v>1512892.1400000001</v>
      </c>
      <c r="AC26" s="75">
        <v>0</v>
      </c>
      <c r="AD26" s="76">
        <f t="shared" si="9"/>
        <v>1512892.1400000001</v>
      </c>
      <c r="AE26" s="65">
        <v>1512892.1400000001</v>
      </c>
      <c r="AF26" s="32">
        <v>0</v>
      </c>
      <c r="AG26" s="64">
        <f t="shared" si="10"/>
        <v>1512892.1400000001</v>
      </c>
      <c r="AH26" s="66">
        <v>1512892.1400000001</v>
      </c>
      <c r="AI26" s="32">
        <v>0</v>
      </c>
      <c r="AJ26" s="33">
        <f t="shared" si="13"/>
        <v>16706248.250000004</v>
      </c>
      <c r="AK26" s="91">
        <f t="shared" si="11"/>
        <v>16706248.250000004</v>
      </c>
      <c r="AL26" s="54">
        <f t="shared" si="12"/>
        <v>0</v>
      </c>
    </row>
    <row r="27" spans="1:40" ht="13.9" customHeight="1" x14ac:dyDescent="0.15">
      <c r="A27" s="40" t="s">
        <v>8</v>
      </c>
      <c r="B27" s="57">
        <f t="shared" si="0"/>
        <v>1248293.5400000003</v>
      </c>
      <c r="C27" s="57">
        <v>1248293.5400000003</v>
      </c>
      <c r="D27" s="57">
        <v>0</v>
      </c>
      <c r="E27" s="57">
        <f t="shared" si="1"/>
        <v>1248293.5400000003</v>
      </c>
      <c r="F27" s="57">
        <v>1248293.5400000003</v>
      </c>
      <c r="G27" s="57">
        <v>0</v>
      </c>
      <c r="H27" s="57">
        <f t="shared" si="2"/>
        <v>1239687.81</v>
      </c>
      <c r="I27" s="57">
        <f>1266194.52-26506.71</f>
        <v>1239687.81</v>
      </c>
      <c r="J27" s="57">
        <v>0</v>
      </c>
      <c r="K27" s="57">
        <f t="shared" si="3"/>
        <v>1207380.1600000001</v>
      </c>
      <c r="L27" s="31">
        <f>1233886.87-26506.71</f>
        <v>1207380.1600000001</v>
      </c>
      <c r="M27" s="31">
        <v>0</v>
      </c>
      <c r="N27" s="31">
        <f t="shared" si="4"/>
        <v>1222657.04</v>
      </c>
      <c r="O27" s="31">
        <v>1222657.04</v>
      </c>
      <c r="P27" s="31">
        <v>0</v>
      </c>
      <c r="Q27" s="30" t="s">
        <v>8</v>
      </c>
      <c r="R27" s="32">
        <f t="shared" si="5"/>
        <v>1222547.3</v>
      </c>
      <c r="S27" s="32">
        <v>1222547.3</v>
      </c>
      <c r="T27" s="75">
        <v>0</v>
      </c>
      <c r="U27" s="75">
        <f t="shared" si="6"/>
        <v>1222547.3</v>
      </c>
      <c r="V27" s="75">
        <v>1222547.3</v>
      </c>
      <c r="W27" s="75">
        <v>0</v>
      </c>
      <c r="X27" s="75">
        <f t="shared" si="7"/>
        <v>1222547.29</v>
      </c>
      <c r="Y27" s="75">
        <v>1222547.29</v>
      </c>
      <c r="Z27" s="75">
        <v>0</v>
      </c>
      <c r="AA27" s="76">
        <f t="shared" si="8"/>
        <v>1222547.29</v>
      </c>
      <c r="AB27" s="77">
        <v>1222547.29</v>
      </c>
      <c r="AC27" s="75">
        <v>0</v>
      </c>
      <c r="AD27" s="76">
        <f t="shared" si="9"/>
        <v>1222547.29</v>
      </c>
      <c r="AE27" s="65">
        <v>1222547.29</v>
      </c>
      <c r="AF27" s="32">
        <v>0</v>
      </c>
      <c r="AG27" s="64">
        <f t="shared" si="10"/>
        <v>1222547.29</v>
      </c>
      <c r="AH27" s="66">
        <v>1222547.29</v>
      </c>
      <c r="AI27" s="32">
        <v>0</v>
      </c>
      <c r="AJ27" s="33">
        <f t="shared" si="13"/>
        <v>13501595.849999998</v>
      </c>
      <c r="AK27" s="91">
        <f t="shared" si="11"/>
        <v>13501595.849999998</v>
      </c>
      <c r="AL27" s="54">
        <f t="shared" si="12"/>
        <v>0</v>
      </c>
    </row>
    <row r="28" spans="1:40" ht="13.9" customHeight="1" x14ac:dyDescent="0.15">
      <c r="A28" s="40" t="s">
        <v>38</v>
      </c>
      <c r="B28" s="57">
        <f t="shared" si="0"/>
        <v>1495911.7400000002</v>
      </c>
      <c r="C28" s="57">
        <v>1495911.7400000002</v>
      </c>
      <c r="D28" s="57">
        <v>0</v>
      </c>
      <c r="E28" s="57">
        <f t="shared" si="1"/>
        <v>1495911.7400000002</v>
      </c>
      <c r="F28" s="57">
        <v>1495911.7400000002</v>
      </c>
      <c r="G28" s="57">
        <v>0</v>
      </c>
      <c r="H28" s="57">
        <f t="shared" si="2"/>
        <v>1486868.29</v>
      </c>
      <c r="I28" s="57">
        <f>1517861.22-30992.93</f>
        <v>1486868.29</v>
      </c>
      <c r="J28" s="57">
        <v>0</v>
      </c>
      <c r="K28" s="57">
        <f t="shared" si="3"/>
        <v>1447253.8900000001</v>
      </c>
      <c r="L28" s="31">
        <f>1478246.82-30992.93</f>
        <v>1447253.8900000001</v>
      </c>
      <c r="M28" s="31">
        <v>0</v>
      </c>
      <c r="N28" s="31">
        <f t="shared" si="4"/>
        <v>1465985.83</v>
      </c>
      <c r="O28" s="31">
        <v>1465985.83</v>
      </c>
      <c r="P28" s="31">
        <v>0</v>
      </c>
      <c r="Q28" s="30" t="s">
        <v>38</v>
      </c>
      <c r="R28" s="32">
        <f t="shared" si="5"/>
        <v>1465851.22</v>
      </c>
      <c r="S28" s="32">
        <v>1465851.22</v>
      </c>
      <c r="T28" s="75">
        <v>0</v>
      </c>
      <c r="U28" s="75">
        <f t="shared" si="6"/>
        <v>1465851.22</v>
      </c>
      <c r="V28" s="75">
        <v>1465851.22</v>
      </c>
      <c r="W28" s="75">
        <v>0</v>
      </c>
      <c r="X28" s="75">
        <f t="shared" si="7"/>
        <v>1465851.23</v>
      </c>
      <c r="Y28" s="75">
        <v>1465851.23</v>
      </c>
      <c r="Z28" s="75">
        <v>0</v>
      </c>
      <c r="AA28" s="76">
        <f t="shared" si="8"/>
        <v>1465851.23</v>
      </c>
      <c r="AB28" s="77">
        <v>1465851.23</v>
      </c>
      <c r="AC28" s="75">
        <v>0</v>
      </c>
      <c r="AD28" s="76">
        <f t="shared" si="9"/>
        <v>1465851.23</v>
      </c>
      <c r="AE28" s="65">
        <v>1465851.23</v>
      </c>
      <c r="AF28" s="32">
        <v>0</v>
      </c>
      <c r="AG28" s="64">
        <f t="shared" si="10"/>
        <v>1465851.23</v>
      </c>
      <c r="AH28" s="66">
        <v>1465851.23</v>
      </c>
      <c r="AI28" s="32">
        <v>0</v>
      </c>
      <c r="AJ28" s="33">
        <f t="shared" si="13"/>
        <v>16187038.850000003</v>
      </c>
      <c r="AK28" s="91">
        <f t="shared" si="11"/>
        <v>16187038.850000003</v>
      </c>
      <c r="AL28" s="54">
        <f t="shared" si="12"/>
        <v>0</v>
      </c>
    </row>
    <row r="29" spans="1:40" s="74" customFormat="1" ht="13.9" customHeight="1" x14ac:dyDescent="0.2">
      <c r="A29" s="70"/>
      <c r="B29" s="70">
        <f t="shared" ref="B29:T29" si="14">SUM(B6:B28)</f>
        <v>67455417.5</v>
      </c>
      <c r="C29" s="70">
        <f>SUM(C6:C28)</f>
        <v>66610843.5</v>
      </c>
      <c r="D29" s="70">
        <f>SUM(D6:D28)</f>
        <v>844574</v>
      </c>
      <c r="E29" s="70">
        <f t="shared" si="14"/>
        <v>67455417.49000001</v>
      </c>
      <c r="F29" s="70">
        <f t="shared" si="14"/>
        <v>66606768.640000008</v>
      </c>
      <c r="G29" s="70">
        <f t="shared" si="14"/>
        <v>848648.85</v>
      </c>
      <c r="H29" s="70">
        <f t="shared" si="14"/>
        <v>68461532.860000014</v>
      </c>
      <c r="I29" s="70">
        <f t="shared" si="14"/>
        <v>68101787.530000016</v>
      </c>
      <c r="J29" s="70">
        <f t="shared" si="14"/>
        <v>359745.33</v>
      </c>
      <c r="K29" s="70">
        <f t="shared" si="14"/>
        <v>66674282.570000008</v>
      </c>
      <c r="L29" s="70">
        <f t="shared" si="14"/>
        <v>66283010.650000006</v>
      </c>
      <c r="M29" s="70">
        <f t="shared" si="14"/>
        <v>361532.84</v>
      </c>
      <c r="N29" s="70">
        <f t="shared" si="14"/>
        <v>67504228.579999998</v>
      </c>
      <c r="O29" s="70">
        <f t="shared" si="14"/>
        <v>67140822.859999999</v>
      </c>
      <c r="P29" s="70">
        <f t="shared" si="14"/>
        <v>363405.72</v>
      </c>
      <c r="Q29" s="71"/>
      <c r="R29" s="70">
        <f t="shared" si="14"/>
        <v>67504228.560000002</v>
      </c>
      <c r="S29" s="70">
        <f t="shared" si="14"/>
        <v>67139205.950000003</v>
      </c>
      <c r="T29" s="70">
        <f t="shared" si="14"/>
        <v>365022.61</v>
      </c>
      <c r="U29" s="70">
        <f t="shared" ref="U29:Z29" si="15">SUM(U6:U28)</f>
        <v>67504228.580000013</v>
      </c>
      <c r="V29" s="70">
        <f t="shared" si="15"/>
        <v>63884653.75</v>
      </c>
      <c r="W29" s="70">
        <f t="shared" si="15"/>
        <v>3619574.83</v>
      </c>
      <c r="X29" s="70">
        <f t="shared" si="15"/>
        <v>67504228.599999994</v>
      </c>
      <c r="Y29" s="70">
        <f t="shared" si="15"/>
        <v>63882923.430000007</v>
      </c>
      <c r="Z29" s="70">
        <f t="shared" si="15"/>
        <v>3621305.1700000004</v>
      </c>
      <c r="AA29" s="70">
        <f t="shared" ref="AA29:AF29" si="16">SUM(AA6:AA28)</f>
        <v>67504225.590000004</v>
      </c>
      <c r="AB29" s="70">
        <f t="shared" si="16"/>
        <v>65297858.209999993</v>
      </c>
      <c r="AC29" s="70">
        <f t="shared" si="16"/>
        <v>2206367.38</v>
      </c>
      <c r="AD29" s="70">
        <f t="shared" si="16"/>
        <v>67505881.5</v>
      </c>
      <c r="AE29" s="70">
        <f t="shared" si="16"/>
        <v>66186198.289999992</v>
      </c>
      <c r="AF29" s="70">
        <f t="shared" si="16"/>
        <v>1319683.21</v>
      </c>
      <c r="AG29" s="70">
        <f t="shared" ref="AG29:AL29" si="17">SUM(AG6:AG28)</f>
        <v>67504228.569999993</v>
      </c>
      <c r="AH29" s="70">
        <f t="shared" si="17"/>
        <v>67129300.209999993</v>
      </c>
      <c r="AI29" s="70">
        <f t="shared" si="17"/>
        <v>374928.36</v>
      </c>
      <c r="AJ29" s="72">
        <f t="shared" si="17"/>
        <v>742577900.4000001</v>
      </c>
      <c r="AK29" s="72">
        <f t="shared" si="17"/>
        <v>728263373.0200001</v>
      </c>
      <c r="AL29" s="73">
        <f t="shared" si="17"/>
        <v>14284788.300000001</v>
      </c>
    </row>
    <row r="30" spans="1:40" ht="16.5" customHeight="1" x14ac:dyDescent="0.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15"/>
      <c r="Q30" s="12"/>
      <c r="R30" s="12"/>
      <c r="S30" s="13"/>
      <c r="T30" s="13"/>
      <c r="U30" s="13"/>
      <c r="V30" s="13"/>
      <c r="W30" s="10"/>
      <c r="X30" s="10"/>
      <c r="Y30" s="10"/>
      <c r="Z30" s="18"/>
      <c r="AA30" s="10"/>
      <c r="AB30" s="10"/>
      <c r="AC30" s="10"/>
      <c r="AD30" s="10"/>
      <c r="AE30" s="10"/>
      <c r="AF30" s="10"/>
      <c r="AG30" s="10"/>
      <c r="AH30" s="10"/>
      <c r="AK30" s="102" t="s">
        <v>12</v>
      </c>
      <c r="AL30" s="102"/>
    </row>
    <row r="31" spans="1:40" s="90" customFormat="1" ht="15.75" customHeight="1" x14ac:dyDescent="0.15">
      <c r="A31" s="84" t="s">
        <v>23</v>
      </c>
      <c r="B31" s="84"/>
      <c r="C31" s="84"/>
      <c r="D31" s="84"/>
      <c r="E31" s="84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6"/>
      <c r="R31" s="86"/>
      <c r="S31" s="86"/>
      <c r="T31" s="86"/>
      <c r="U31" s="86"/>
      <c r="V31" s="86"/>
      <c r="W31" s="87"/>
      <c r="X31" s="87"/>
      <c r="Y31" s="87"/>
      <c r="Z31" s="88"/>
      <c r="AA31" s="87"/>
      <c r="AB31" s="87"/>
      <c r="AC31" s="87"/>
      <c r="AD31" s="87"/>
      <c r="AE31" s="87"/>
      <c r="AF31" s="87"/>
      <c r="AG31" s="87"/>
      <c r="AH31" s="87"/>
      <c r="AI31" s="89"/>
      <c r="AK31" s="89"/>
      <c r="AL31" s="89"/>
    </row>
    <row r="32" spans="1:40" ht="13.5" customHeight="1" x14ac:dyDescent="0.2">
      <c r="A32" s="100" t="s">
        <v>23</v>
      </c>
      <c r="B32" s="101"/>
      <c r="C32" s="101"/>
      <c r="D32" s="101"/>
      <c r="E32" s="101"/>
      <c r="F32" s="36"/>
      <c r="G32" s="36"/>
      <c r="H32" s="36"/>
      <c r="I32" s="36"/>
      <c r="J32" s="36"/>
      <c r="K32" s="36"/>
      <c r="L32" s="36"/>
      <c r="M32" s="36" t="s">
        <v>23</v>
      </c>
      <c r="N32" s="36"/>
      <c r="O32" s="36"/>
      <c r="P32" s="36"/>
      <c r="Q32" s="13" t="s">
        <v>23</v>
      </c>
      <c r="R32" s="13"/>
      <c r="S32" s="13"/>
      <c r="T32" s="13"/>
      <c r="U32" s="13"/>
      <c r="V32" s="13"/>
      <c r="W32" s="10" t="s">
        <v>23</v>
      </c>
      <c r="X32" s="10"/>
      <c r="Y32" s="10"/>
      <c r="Z32" s="18"/>
      <c r="AA32" s="19"/>
      <c r="AB32" s="10"/>
      <c r="AC32" s="10"/>
      <c r="AD32" s="10"/>
      <c r="AE32" s="10"/>
      <c r="AF32" s="10"/>
      <c r="AG32" s="10"/>
      <c r="AH32" s="10"/>
      <c r="AJ32" s="79"/>
      <c r="AK32" s="39" t="s">
        <v>23</v>
      </c>
      <c r="AL32" s="2"/>
    </row>
    <row r="33" spans="1:38" ht="12" customHeight="1" x14ac:dyDescent="0.2">
      <c r="A33" s="98" t="s">
        <v>23</v>
      </c>
      <c r="B33" s="99"/>
      <c r="C33" s="99"/>
      <c r="D33" s="99"/>
      <c r="E33" s="35"/>
      <c r="F33" s="37"/>
      <c r="G33" s="37"/>
      <c r="H33" s="37"/>
      <c r="I33" s="37" t="s">
        <v>23</v>
      </c>
      <c r="J33" s="37"/>
      <c r="K33" s="37"/>
      <c r="L33" s="37"/>
      <c r="M33" s="37"/>
      <c r="N33" s="37"/>
      <c r="O33" s="37"/>
      <c r="P33" s="37"/>
      <c r="S33" s="2" t="s">
        <v>23</v>
      </c>
      <c r="Y33" s="83"/>
      <c r="AA33" s="19"/>
      <c r="AJ33" s="79"/>
      <c r="AK33" s="11"/>
      <c r="AL33" s="11"/>
    </row>
    <row r="34" spans="1:38" ht="17.25" customHeight="1" x14ac:dyDescent="0.2">
      <c r="A34" s="35" t="s">
        <v>23</v>
      </c>
      <c r="B34" s="35"/>
      <c r="C34" s="35"/>
      <c r="D34" s="35"/>
      <c r="E34" s="67" t="s">
        <v>23</v>
      </c>
      <c r="F34" s="55" t="s">
        <v>23</v>
      </c>
      <c r="G34" s="37"/>
      <c r="H34" s="37"/>
      <c r="I34" s="37"/>
      <c r="J34" s="37"/>
      <c r="K34" s="37"/>
      <c r="L34" s="37"/>
      <c r="M34" s="37"/>
      <c r="N34" s="37"/>
      <c r="O34" s="37"/>
      <c r="P34" s="37"/>
      <c r="R34" s="61"/>
      <c r="S34" s="63"/>
      <c r="AA34" s="19"/>
      <c r="AB34" s="39"/>
      <c r="AJ34" s="79"/>
      <c r="AK34" s="59"/>
      <c r="AL34" s="81"/>
    </row>
    <row r="35" spans="1:38" s="46" customFormat="1" ht="12.75" customHeight="1" x14ac:dyDescent="0.25">
      <c r="A35" s="93" t="s">
        <v>23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41"/>
      <c r="Q35" s="42"/>
      <c r="R35" s="61"/>
      <c r="S35" s="43"/>
      <c r="T35" s="43"/>
      <c r="U35" s="43"/>
      <c r="V35" s="43"/>
      <c r="W35" s="44"/>
      <c r="X35" s="44"/>
      <c r="Y35" s="44"/>
      <c r="Z35" s="45"/>
      <c r="AA35" s="48"/>
      <c r="AB35" s="69"/>
      <c r="AC35" s="41"/>
      <c r="AD35" s="41"/>
      <c r="AE35" s="41"/>
      <c r="AF35" s="41"/>
      <c r="AG35" s="41"/>
      <c r="AH35" s="41"/>
      <c r="AI35" s="41"/>
      <c r="AJ35" s="80"/>
      <c r="AK35" s="60"/>
      <c r="AL35" s="82"/>
    </row>
    <row r="36" spans="1:38" s="46" customFormat="1" ht="15.75" x14ac:dyDescent="0.25">
      <c r="A36" s="78" t="s">
        <v>23</v>
      </c>
      <c r="B36" s="47"/>
      <c r="C36" s="47"/>
      <c r="D36" s="58"/>
      <c r="E36" s="58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1"/>
      <c r="R36" s="62"/>
      <c r="S36" s="41"/>
      <c r="T36" s="41"/>
      <c r="U36" s="41"/>
      <c r="V36" s="41"/>
      <c r="W36" s="41"/>
      <c r="X36" s="41"/>
      <c r="Y36" s="41"/>
      <c r="Z36" s="48"/>
      <c r="AA36" s="48"/>
      <c r="AB36" s="69"/>
      <c r="AC36" s="41"/>
      <c r="AD36" s="41"/>
      <c r="AE36" s="41"/>
      <c r="AF36" s="41"/>
      <c r="AG36" s="41"/>
      <c r="AH36" s="41"/>
      <c r="AI36" s="41"/>
      <c r="AJ36" s="80"/>
      <c r="AK36" s="60"/>
    </row>
    <row r="37" spans="1:38" ht="12.75" x14ac:dyDescent="0.2">
      <c r="A37" s="2" t="s">
        <v>23</v>
      </c>
      <c r="D37" s="38"/>
      <c r="E37" s="39"/>
      <c r="F37" s="68" t="s">
        <v>43</v>
      </c>
      <c r="G37" s="49"/>
      <c r="AA37" s="19"/>
      <c r="AB37" s="53"/>
      <c r="AC37" s="19"/>
      <c r="AJ37" s="92"/>
      <c r="AL37" s="11"/>
    </row>
    <row r="38" spans="1:38" ht="12.75" x14ac:dyDescent="0.2">
      <c r="C38" s="39"/>
      <c r="D38" s="38"/>
      <c r="E38" s="39"/>
      <c r="F38" s="19"/>
      <c r="G38" s="39"/>
      <c r="AA38" s="19"/>
      <c r="AB38" s="53"/>
      <c r="AC38" s="19"/>
      <c r="AJ38" s="92"/>
    </row>
    <row r="39" spans="1:38" x14ac:dyDescent="0.15">
      <c r="C39" s="39"/>
      <c r="D39" s="53"/>
      <c r="E39" s="39"/>
      <c r="F39" s="19"/>
      <c r="AA39" s="19"/>
      <c r="AB39" s="53"/>
      <c r="AC39" s="19"/>
      <c r="AJ39" s="11"/>
    </row>
    <row r="40" spans="1:38" x14ac:dyDescent="0.15">
      <c r="D40" s="53"/>
      <c r="E40" s="39"/>
      <c r="F40" s="19"/>
      <c r="AA40" s="53"/>
      <c r="AC40" s="19"/>
      <c r="AJ40" s="11"/>
    </row>
    <row r="41" spans="1:38" x14ac:dyDescent="0.15">
      <c r="D41" s="53"/>
      <c r="E41" s="39"/>
      <c r="G41" s="49"/>
      <c r="AA41" s="53"/>
      <c r="AC41" s="19"/>
      <c r="AJ41" s="11"/>
    </row>
    <row r="42" spans="1:38" x14ac:dyDescent="0.15">
      <c r="D42" s="49" t="s">
        <v>23</v>
      </c>
      <c r="E42" s="39"/>
      <c r="F42" s="38"/>
      <c r="AC42" s="19"/>
    </row>
    <row r="43" spans="1:38" x14ac:dyDescent="0.15">
      <c r="D43" s="39"/>
      <c r="E43" s="39"/>
      <c r="F43" s="39"/>
      <c r="AC43" s="19"/>
    </row>
    <row r="44" spans="1:38" x14ac:dyDescent="0.15">
      <c r="E44" s="39"/>
      <c r="F44" s="39"/>
      <c r="AA44" s="39"/>
      <c r="AC44" s="19"/>
    </row>
    <row r="45" spans="1:38" x14ac:dyDescent="0.15">
      <c r="D45" s="49"/>
      <c r="E45" s="39"/>
      <c r="F45" s="39"/>
    </row>
    <row r="46" spans="1:38" x14ac:dyDescent="0.15">
      <c r="E46" s="39"/>
    </row>
    <row r="47" spans="1:38" x14ac:dyDescent="0.15">
      <c r="D47" s="39"/>
      <c r="E47" s="39"/>
    </row>
    <row r="48" spans="1:38" x14ac:dyDescent="0.15">
      <c r="E48" s="39"/>
    </row>
    <row r="49" spans="5:5" x14ac:dyDescent="0.15">
      <c r="E49" s="39"/>
    </row>
    <row r="50" spans="5:5" x14ac:dyDescent="0.15">
      <c r="E50" s="39"/>
    </row>
    <row r="51" spans="5:5" x14ac:dyDescent="0.15">
      <c r="E51" s="39"/>
    </row>
    <row r="52" spans="5:5" x14ac:dyDescent="0.15">
      <c r="E52" s="39"/>
    </row>
    <row r="53" spans="5:5" x14ac:dyDescent="0.15">
      <c r="E53" s="39"/>
    </row>
    <row r="54" spans="5:5" x14ac:dyDescent="0.15">
      <c r="E54" s="39"/>
    </row>
    <row r="55" spans="5:5" x14ac:dyDescent="0.15">
      <c r="E55" s="39"/>
    </row>
    <row r="56" spans="5:5" x14ac:dyDescent="0.15">
      <c r="E56" s="39"/>
    </row>
    <row r="57" spans="5:5" x14ac:dyDescent="0.15">
      <c r="E57" s="39"/>
    </row>
    <row r="58" spans="5:5" x14ac:dyDescent="0.15">
      <c r="E58" s="39"/>
    </row>
    <row r="59" spans="5:5" x14ac:dyDescent="0.15">
      <c r="E59" s="39"/>
    </row>
    <row r="60" spans="5:5" x14ac:dyDescent="0.15">
      <c r="E60" s="39"/>
    </row>
    <row r="61" spans="5:5" x14ac:dyDescent="0.15">
      <c r="E61" s="39"/>
    </row>
  </sheetData>
  <mergeCells count="25">
    <mergeCell ref="A3:B3"/>
    <mergeCell ref="A2:D2"/>
    <mergeCell ref="AJ4:AL4"/>
    <mergeCell ref="Q3:AF3"/>
    <mergeCell ref="AH3:AI3"/>
    <mergeCell ref="H3:I3"/>
    <mergeCell ref="E3:G3"/>
    <mergeCell ref="Q2:W2"/>
    <mergeCell ref="AK30:AL30"/>
    <mergeCell ref="Q4:Q5"/>
    <mergeCell ref="AG4:AI4"/>
    <mergeCell ref="A4:A5"/>
    <mergeCell ref="U4:W4"/>
    <mergeCell ref="X4:Z4"/>
    <mergeCell ref="A35:O35"/>
    <mergeCell ref="AD4:AF4"/>
    <mergeCell ref="H4:J4"/>
    <mergeCell ref="K4:M4"/>
    <mergeCell ref="B4:D4"/>
    <mergeCell ref="E4:G4"/>
    <mergeCell ref="A33:D33"/>
    <mergeCell ref="R4:T4"/>
    <mergeCell ref="AA4:AC4"/>
    <mergeCell ref="N4:P4"/>
    <mergeCell ref="A32:E32"/>
  </mergeCells>
  <phoneticPr fontId="2" type="noConversion"/>
  <printOptions horizontalCentered="1"/>
  <pageMargins left="0.78740157480314965" right="0.78740157480314965" top="0.98425196850393704" bottom="0.43307086614173229" header="0" footer="0"/>
  <pageSetup paperSize="9" scale="35" orientation="landscape" r:id="rId1"/>
  <headerFooter differentFirst="1" alignWithMargins="0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2019</vt:lpstr>
    </vt:vector>
  </TitlesOfParts>
  <Company>tse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Maria_Silva</dc:creator>
  <cp:lastModifiedBy>jose antonio vale da silva</cp:lastModifiedBy>
  <cp:lastPrinted>2019-12-17T17:10:35Z</cp:lastPrinted>
  <dcterms:created xsi:type="dcterms:W3CDTF">2003-12-03T19:28:44Z</dcterms:created>
  <dcterms:modified xsi:type="dcterms:W3CDTF">2020-04-02T17:54:03Z</dcterms:modified>
</cp:coreProperties>
</file>